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ml.chartshapes+xml"/>
  <Override PartName="/xl/charts/chart4.xml" ContentType="application/vnd.openxmlformats-officedocument.drawingml.chart+xml"/>
  <Override PartName="/xl/drawings/drawing7.xml" ContentType="application/vnd.openxmlformats-officedocument.drawingml.chartshapes+xml"/>
  <Override PartName="/xl/drawings/drawing8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9.xml" ContentType="application/vnd.openxmlformats-officedocument.drawing+xml"/>
  <Override PartName="/xl/charts/chart7.xml" ContentType="application/vnd.openxmlformats-officedocument.drawingml.chart+xml"/>
  <Override PartName="/xl/drawings/drawing10.xml" ContentType="application/vnd.openxmlformats-officedocument.drawingml.chartshapes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drawings/drawing11.xml" ContentType="application/vnd.openxmlformats-officedocument.drawingml.chartshapes+xml"/>
  <Override PartName="/xl/charts/chart10.xml" ContentType="application/vnd.openxmlformats-officedocument.drawingml.chart+xml"/>
  <Override PartName="/xl/drawings/drawing12.xml" ContentType="application/vnd.openxmlformats-officedocument.drawing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13.xml" ContentType="application/vnd.openxmlformats-officedocument.drawingml.chartshapes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15.xml" ContentType="application/vnd.openxmlformats-officedocument.drawingml.chart+xml"/>
  <Override PartName="/xl/drawings/drawing16.xml" ContentType="application/vnd.openxmlformats-officedocument.drawingml.chartshapes+xml"/>
  <Override PartName="/xl/charts/chart16.xml" ContentType="application/vnd.openxmlformats-officedocument.drawingml.chart+xml"/>
  <Override PartName="/xl/drawings/drawing17.xml" ContentType="application/vnd.openxmlformats-officedocument.drawingml.chartshapes+xml"/>
  <Override PartName="/xl/drawings/drawing18.xml" ContentType="application/vnd.openxmlformats-officedocument.drawing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drawings/drawing19.xml" ContentType="application/vnd.openxmlformats-officedocument.drawing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drawings/drawing20.xml" ContentType="application/vnd.openxmlformats-officedocument.drawing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drawings/drawing21.xml" ContentType="application/vnd.openxmlformats-officedocument.drawing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drawings/drawing22.xml" ContentType="application/vnd.openxmlformats-officedocument.drawing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drawings/drawing23.xml" ContentType="application/vnd.openxmlformats-officedocument.drawing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drawings/drawing24.xml" ContentType="application/vnd.openxmlformats-officedocument.drawing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drawings/drawing25.xml" ContentType="application/vnd.openxmlformats-officedocument.drawing+xml"/>
  <Override PartName="/xl/charts/chart31.xml" ContentType="application/vnd.openxmlformats-officedocument.drawingml.chart+xml"/>
  <Override PartName="/xl/drawings/drawing26.xml" ContentType="application/vnd.openxmlformats-officedocument.drawingml.chartshapes+xml"/>
  <Override PartName="/xl/charts/chart32.xml" ContentType="application/vnd.openxmlformats-officedocument.drawingml.chart+xml"/>
  <Override PartName="/xl/drawings/drawing27.xml" ContentType="application/vnd.openxmlformats-officedocument.drawingml.chartshapes+xml"/>
  <Override PartName="/xl/drawings/drawing28.xml" ContentType="application/vnd.openxmlformats-officedocument.drawing+xml"/>
  <Override PartName="/xl/charts/chart33.xml" ContentType="application/vnd.openxmlformats-officedocument.drawingml.chart+xml"/>
  <Override PartName="/xl/drawings/drawing29.xml" ContentType="application/vnd.openxmlformats-officedocument.drawingml.chartshapes+xml"/>
  <Override PartName="/xl/charts/chart34.xml" ContentType="application/vnd.openxmlformats-officedocument.drawingml.chart+xml"/>
  <Override PartName="/xl/drawings/drawing30.xml" ContentType="application/vnd.openxmlformats-officedocument.drawingml.chartshapes+xml"/>
  <Override PartName="/xl/drawings/drawing31.xml" ContentType="application/vnd.openxmlformats-officedocument.drawing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drawings/drawing32.xml" ContentType="application/vnd.openxmlformats-officedocument.drawing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drawings/drawing33.xml" ContentType="application/vnd.openxmlformats-officedocument.drawing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drawings/drawing34.xml" ContentType="application/vnd.openxmlformats-officedocument.drawing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drawings/drawing35.xml" ContentType="application/vnd.openxmlformats-officedocument.drawing+xml"/>
  <Override PartName="/xl/charts/chart45.xml" ContentType="application/vnd.openxmlformats-officedocument.drawingml.chart+xml"/>
  <Override PartName="/xl/drawings/drawing36.xml" ContentType="application/vnd.openxmlformats-officedocument.drawing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drawings/drawing37.xml" ContentType="application/vnd.openxmlformats-officedocument.drawing+xml"/>
  <Override PartName="/xl/charts/chart70.xml" ContentType="application/vnd.openxmlformats-officedocument.drawingml.chart+xml"/>
  <Override PartName="/xl/drawings/drawing38.xml" ContentType="application/vnd.openxmlformats-officedocument.drawing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drawings/drawing39.xml" ContentType="application/vnd.openxmlformats-officedocument.drawing+xml"/>
  <Override PartName="/xl/charts/chart73.xml" ContentType="application/vnd.openxmlformats-officedocument.drawingml.chart+xml"/>
  <Override PartName="/xl/drawings/drawing40.xml" ContentType="application/vnd.openxmlformats-officedocument.drawing+xml"/>
  <Override PartName="/xl/charts/chart74.xml" ContentType="application/vnd.openxmlformats-officedocument.drawingml.chart+xml"/>
  <Override PartName="/xl/drawings/drawing41.xml" ContentType="application/vnd.openxmlformats-officedocument.drawingml.chartshapes+xml"/>
  <Override PartName="/xl/charts/chart75.xml" ContentType="application/vnd.openxmlformats-officedocument.drawingml.chart+xml"/>
  <Override PartName="/xl/drawings/drawing42.xml" ContentType="application/vnd.openxmlformats-officedocument.drawingml.chartshapes+xml"/>
  <Override PartName="/xl/drawings/drawing43.xml" ContentType="application/vnd.openxmlformats-officedocument.drawing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drawings/drawing44.xml" ContentType="application/vnd.openxmlformats-officedocument.drawing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drawings/drawing45.xml" ContentType="application/vnd.openxmlformats-officedocument.drawing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drawings/drawing46.xml" ContentType="application/vnd.openxmlformats-officedocument.drawing+xml"/>
  <Override PartName="/xl/charts/chart88.xml" ContentType="application/vnd.openxmlformats-officedocument.drawingml.chart+xml"/>
  <Override PartName="/xl/drawings/drawing47.xml" ContentType="application/vnd.openxmlformats-officedocument.drawingml.chartshapes+xml"/>
  <Override PartName="/xl/charts/chart89.xml" ContentType="application/vnd.openxmlformats-officedocument.drawingml.chart+xml"/>
  <Override PartName="/xl/drawings/drawing48.xml" ContentType="application/vnd.openxmlformats-officedocument.drawingml.chartshapes+xml"/>
  <Override PartName="/xl/drawings/drawing49.xml" ContentType="application/vnd.openxmlformats-officedocument.drawing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drawings/drawing50.xml" ContentType="application/vnd.openxmlformats-officedocument.drawing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drawings/drawing51.xml" ContentType="application/vnd.openxmlformats-officedocument.drawing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drawings/drawing52.xml" ContentType="application/vnd.openxmlformats-officedocument.drawing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drawings/drawing53.xml" ContentType="application/vnd.openxmlformats-officedocument.drawing+xml"/>
  <Override PartName="/xl/charts/chart98.xml" ContentType="application/vnd.openxmlformats-officedocument.drawingml.chart+xml"/>
  <Override PartName="/xl/charts/chart99.xml" ContentType="application/vnd.openxmlformats-officedocument.drawingml.chart+xml"/>
  <Override PartName="/xl/drawings/drawing54.xml" ContentType="application/vnd.openxmlformats-officedocument.drawing+xml"/>
  <Override PartName="/xl/charts/chart100.xml" ContentType="application/vnd.openxmlformats-officedocument.drawingml.chart+xml"/>
  <Override PartName="/xl/charts/chart10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respaldo\zestadis\Mem2014\"/>
    </mc:Choice>
  </mc:AlternateContent>
  <bookViews>
    <workbookView xWindow="0" yWindow="4035" windowWidth="15420" windowHeight="4080" tabRatio="877" firstSheet="12" activeTab="13"/>
  </bookViews>
  <sheets>
    <sheet name="mate" sheetId="101" r:id="rId1"/>
    <sheet name="1" sheetId="20" r:id="rId2"/>
    <sheet name="4" sheetId="5" r:id="rId3"/>
    <sheet name="5" sheetId="6" r:id="rId4"/>
    <sheet name="6" sheetId="10" r:id="rId5"/>
    <sheet name="7" sheetId="22" r:id="rId6"/>
    <sheet name="8" sheetId="11" r:id="rId7"/>
    <sheet name="9" sheetId="12" r:id="rId8"/>
    <sheet name="10" sheetId="13" r:id="rId9"/>
    <sheet name="11" sheetId="21" r:id="rId10"/>
    <sheet name="12" sheetId="14" r:id="rId11"/>
    <sheet name="13" sheetId="15" r:id="rId12"/>
    <sheet name="14" sheetId="104" r:id="rId13"/>
    <sheet name="15" sheetId="103" r:id="rId14"/>
    <sheet name="16" sheetId="29" r:id="rId15"/>
    <sheet name="17" sheetId="30" r:id="rId16"/>
    <sheet name="19" sheetId="31" r:id="rId17"/>
    <sheet name="21" sheetId="32" r:id="rId18"/>
    <sheet name="23" sheetId="33" r:id="rId19"/>
    <sheet name="25" sheetId="34" r:id="rId20"/>
    <sheet name="27" sheetId="35" r:id="rId21"/>
    <sheet name="29" sheetId="36" r:id="rId22"/>
    <sheet name="31" sheetId="37" r:id="rId23"/>
    <sheet name="33" sheetId="38" r:id="rId24"/>
    <sheet name="35" sheetId="39" r:id="rId25"/>
    <sheet name="39" sheetId="40" r:id="rId26"/>
    <sheet name="40" sheetId="41" r:id="rId27"/>
    <sheet name="41" sheetId="42" r:id="rId28"/>
    <sheet name="42" sheetId="43" r:id="rId29"/>
    <sheet name="43" sheetId="44" r:id="rId30"/>
    <sheet name="44" sheetId="45" r:id="rId31"/>
    <sheet name="45" sheetId="46" r:id="rId32"/>
    <sheet name="47" sheetId="47" r:id="rId33"/>
    <sheet name="48" sheetId="48" r:id="rId34"/>
    <sheet name="49" sheetId="49" r:id="rId35"/>
    <sheet name="50" sheetId="50" r:id="rId36"/>
    <sheet name="51" sheetId="51" r:id="rId37"/>
    <sheet name="52" sheetId="52" r:id="rId38"/>
    <sheet name="53" sheetId="53" r:id="rId39"/>
    <sheet name="54" sheetId="54" r:id="rId40"/>
    <sheet name="55" sheetId="55" r:id="rId41"/>
    <sheet name="56" sheetId="56" r:id="rId42"/>
    <sheet name="57" sheetId="57" r:id="rId43"/>
    <sheet name="58" sheetId="58" r:id="rId44"/>
    <sheet name="59" sheetId="59" r:id="rId45"/>
    <sheet name="60" sheetId="60" r:id="rId46"/>
    <sheet name="61" sheetId="61" r:id="rId47"/>
    <sheet name="62" sheetId="62" r:id="rId48"/>
    <sheet name="63" sheetId="63" r:id="rId49"/>
    <sheet name="64" sheetId="64" r:id="rId50"/>
    <sheet name="RESOlutividad" sheetId="102" r:id="rId51"/>
    <sheet name="65" sheetId="65" r:id="rId52"/>
    <sheet name="66" sheetId="66" r:id="rId53"/>
    <sheet name="67" sheetId="67" r:id="rId54"/>
    <sheet name="71" sheetId="68" r:id="rId55"/>
    <sheet name="73" sheetId="70" r:id="rId56"/>
    <sheet name="74" sheetId="71" r:id="rId57"/>
    <sheet name="75" sheetId="72" r:id="rId58"/>
    <sheet name="76" sheetId="73" r:id="rId59"/>
    <sheet name="77" sheetId="74" r:id="rId60"/>
    <sheet name="78" sheetId="75" r:id="rId61"/>
    <sheet name="79" sheetId="76" r:id="rId62"/>
    <sheet name="80" sheetId="77" r:id="rId63"/>
    <sheet name="82" sheetId="78" r:id="rId64"/>
    <sheet name="84" sheetId="79" r:id="rId65"/>
    <sheet name="85" sheetId="80" r:id="rId66"/>
    <sheet name="86" sheetId="81" r:id="rId67"/>
    <sheet name="87" sheetId="82" r:id="rId68"/>
    <sheet name="88" sheetId="83" r:id="rId69"/>
    <sheet name="89" sheetId="84" r:id="rId70"/>
    <sheet name="90" sheetId="85" r:id="rId71"/>
    <sheet name="91" sheetId="86" r:id="rId72"/>
    <sheet name="92" sheetId="87" r:id="rId73"/>
    <sheet name="93" sheetId="88" r:id="rId74"/>
    <sheet name="94" sheetId="89" r:id="rId75"/>
    <sheet name="95" sheetId="90" r:id="rId76"/>
    <sheet name="96" sheetId="91" r:id="rId77"/>
    <sheet name="97" sheetId="92" r:id="rId78"/>
    <sheet name="99" sheetId="93" r:id="rId79"/>
    <sheet name="100" sheetId="94" r:id="rId80"/>
    <sheet name="102" sheetId="95" r:id="rId81"/>
    <sheet name="104" sheetId="96" r:id="rId82"/>
    <sheet name="106" sheetId="97" r:id="rId83"/>
    <sheet name="108" sheetId="98" r:id="rId84"/>
    <sheet name="AN" sheetId="99" r:id="rId85"/>
    <sheet name="GLO" sheetId="100" r:id="rId86"/>
    <sheet name="Hoja1" sheetId="105" r:id="rId87"/>
  </sheets>
  <externalReferences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</externalReferences>
  <definedNames>
    <definedName name="_xlnm._FilterDatabase" localSheetId="79" hidden="1">'100'!$D$41:$M$58</definedName>
    <definedName name="_xlnm._FilterDatabase" localSheetId="25" hidden="1">'39'!$A$42:$T$56</definedName>
    <definedName name="_R" localSheetId="66">'86'!#REF!</definedName>
    <definedName name="_R" localSheetId="67">'87'!#REF!</definedName>
    <definedName name="_R" localSheetId="68">'88'!#REF!</definedName>
    <definedName name="_R" localSheetId="69">'89'!#REF!</definedName>
    <definedName name="_R" localSheetId="70">'90'!#REF!</definedName>
    <definedName name="_R" localSheetId="50">'85'!#REF!</definedName>
    <definedName name="_Regression_Int" localSheetId="65" hidden="1">1</definedName>
    <definedName name="_Regression_Int" localSheetId="66" hidden="1">1</definedName>
    <definedName name="_Regression_Int" localSheetId="67" hidden="1">1</definedName>
    <definedName name="_Regression_Int" localSheetId="68" hidden="1">1</definedName>
    <definedName name="_Regression_Int" localSheetId="69" hidden="1">1</definedName>
    <definedName name="_Regression_Int" localSheetId="70" hidden="1">1</definedName>
    <definedName name="A_impresión_IM" localSheetId="66">'86'!$A$1:$Y$25</definedName>
    <definedName name="A_impresión_IM" localSheetId="67">'87'!$A$1:$Y$25</definedName>
    <definedName name="A_impresión_IM" localSheetId="68">'88'!$A$1:$Y$25</definedName>
    <definedName name="A_impresión_IM" localSheetId="69">'89'!$A$1:$Y$25</definedName>
    <definedName name="A_impresión_IM" localSheetId="70">'90'!$A$1:$Y$25</definedName>
    <definedName name="_xlnm.Print_Area" localSheetId="8">'10'!$A$62:$F$116</definedName>
    <definedName name="_xlnm.Print_Area" localSheetId="10">'12'!$A$1:$H$53</definedName>
    <definedName name="_xlnm.Print_Area" localSheetId="11">'13'!$A$1:$F$59</definedName>
    <definedName name="_xlnm.Print_Area" localSheetId="25">'39'!$A$1:$T$22</definedName>
    <definedName name="_xlnm.Print_Area" localSheetId="28">'42'!$A$1:$I$65</definedName>
    <definedName name="_xlnm.Print_Area" localSheetId="32">'47'!$A$1:$K$36</definedName>
    <definedName name="_xlnm.Print_Area" localSheetId="4">'6'!$A$1:$G$61</definedName>
    <definedName name="_xlnm.Print_Area" localSheetId="53">'67'!$A$1:$H$276</definedName>
    <definedName name="_xlnm.Print_Area" localSheetId="57">'75'!$A$51:$H$104</definedName>
    <definedName name="_xlnm.Print_Area" localSheetId="60">'78'!$A$1:$G$64</definedName>
    <definedName name="_xlnm.Print_Area" localSheetId="61">'79'!$A$1:$I$83</definedName>
    <definedName name="_xlnm.Print_Area" localSheetId="62">'80'!$A$1:$J$127</definedName>
    <definedName name="_xlnm.Print_Area" localSheetId="64">'84'!$A$1:$M$71</definedName>
    <definedName name="_xlnm.Print_Area" localSheetId="67">'87'!$A$1:$Y$25</definedName>
    <definedName name="_xlnm.Print_Area" localSheetId="68">'88'!$A$1:$Y$25</definedName>
    <definedName name="_xlnm.Print_Area" localSheetId="69">'89'!$A$1:$Y$25</definedName>
    <definedName name="_xlnm.Print_Area" localSheetId="70">'90'!$A$1:$Y$33</definedName>
    <definedName name="_xlnm.Print_Area" localSheetId="71">'91'!$A$1:$H$72</definedName>
    <definedName name="_xlnm.Print_Area" localSheetId="72">'92'!$A$1:$H$71</definedName>
    <definedName name="_xlnm.Print_Area" localSheetId="73">'93'!$A$1:$H$72</definedName>
    <definedName name="_xlnm.Print_Area" localSheetId="74">'94'!$A$1:$H$72</definedName>
    <definedName name="_xlnm.Print_Area" localSheetId="75">'95'!$A$1:$H$72</definedName>
    <definedName name="_xlnm.Print_Area" localSheetId="76">'96'!$A$1:$H$72</definedName>
    <definedName name="hola" localSheetId="50">'[1]1990'!#REF!</definedName>
    <definedName name="tabla" localSheetId="50">'[1]1990'!#REF!</definedName>
    <definedName name="TOTAL" localSheetId="66">'86'!$AE$2:$AE$50</definedName>
    <definedName name="TOTAL" localSheetId="67">'87'!$AE$2:$AE$50</definedName>
    <definedName name="TOTAL" localSheetId="68">'88'!$AE$2:$AE$50</definedName>
    <definedName name="TOTAL" localSheetId="69">'89'!$AE$2:$AE$50</definedName>
    <definedName name="TOTAL" localSheetId="70">'90'!$AE$2:$AE$55</definedName>
  </definedNames>
  <calcPr calcId="152511"/>
</workbook>
</file>

<file path=xl/calcChain.xml><?xml version="1.0" encoding="utf-8"?>
<calcChain xmlns="http://schemas.openxmlformats.org/spreadsheetml/2006/main">
  <c r="D22" i="104" l="1"/>
  <c r="E22" i="104"/>
  <c r="F22" i="104"/>
  <c r="G22" i="104"/>
  <c r="H22" i="104"/>
  <c r="I22" i="104"/>
  <c r="J22" i="104"/>
  <c r="K22" i="104"/>
  <c r="C22" i="104"/>
  <c r="O27" i="85"/>
  <c r="O28" i="85"/>
  <c r="O29" i="85"/>
  <c r="O30" i="85"/>
  <c r="O31" i="85"/>
  <c r="O32" i="85"/>
  <c r="O33" i="85"/>
  <c r="O26" i="85"/>
  <c r="Y36" i="58"/>
  <c r="Z36" i="58"/>
  <c r="AB36" i="58"/>
  <c r="AA36" i="58"/>
  <c r="AD23" i="61"/>
  <c r="D15" i="36" l="1"/>
  <c r="D16" i="36"/>
  <c r="B16" i="36"/>
  <c r="B15" i="36"/>
  <c r="B14" i="36"/>
  <c r="D14" i="36"/>
  <c r="AA15" i="35"/>
  <c r="AA14" i="35"/>
  <c r="K14" i="35"/>
  <c r="Q13" i="35"/>
  <c r="Q14" i="35"/>
  <c r="Q15" i="35"/>
  <c r="Q16" i="35"/>
  <c r="Q17" i="35"/>
  <c r="Q18" i="35"/>
  <c r="Q19" i="35"/>
  <c r="Q12" i="35"/>
  <c r="AD14" i="32"/>
  <c r="AD15" i="32"/>
  <c r="AD16" i="32"/>
  <c r="AB14" i="32"/>
  <c r="AB15" i="32"/>
  <c r="AB16" i="32"/>
  <c r="Z14" i="32"/>
  <c r="Z15" i="32"/>
  <c r="Z16" i="32"/>
  <c r="X14" i="32"/>
  <c r="X15" i="32"/>
  <c r="X16" i="32"/>
  <c r="V14" i="32"/>
  <c r="V15" i="32"/>
  <c r="V16" i="32"/>
  <c r="T14" i="32"/>
  <c r="T15" i="32"/>
  <c r="T16" i="32"/>
  <c r="P15" i="32"/>
  <c r="P16" i="32"/>
  <c r="N14" i="32"/>
  <c r="N15" i="32"/>
  <c r="N16" i="32"/>
  <c r="L15" i="32"/>
  <c r="L16" i="32"/>
  <c r="J16" i="32"/>
  <c r="J15" i="32"/>
  <c r="T51" i="40" l="1"/>
  <c r="T49" i="40"/>
  <c r="T48" i="40"/>
  <c r="F13" i="102"/>
  <c r="AB12" i="54"/>
  <c r="AB19" i="54"/>
  <c r="AB15" i="54"/>
  <c r="AB16" i="54"/>
  <c r="AB29" i="54"/>
  <c r="AB35" i="54"/>
  <c r="AB41" i="54"/>
  <c r="AB41" i="53"/>
  <c r="AB35" i="53"/>
  <c r="AB29" i="53"/>
  <c r="AB12" i="53"/>
  <c r="AB15" i="53"/>
  <c r="AB16" i="53"/>
  <c r="AB19" i="53"/>
  <c r="X43" i="54"/>
  <c r="P43" i="54"/>
  <c r="I43" i="54"/>
  <c r="T43" i="53"/>
  <c r="L43" i="53"/>
  <c r="F43" i="53"/>
  <c r="Z42" i="54"/>
  <c r="Z43" i="54" s="1"/>
  <c r="Y42" i="54"/>
  <c r="X42" i="54"/>
  <c r="W42" i="54"/>
  <c r="V42" i="54"/>
  <c r="U42" i="54"/>
  <c r="T42" i="54"/>
  <c r="S42" i="54"/>
  <c r="R42" i="54"/>
  <c r="Q42" i="54"/>
  <c r="P42" i="54"/>
  <c r="O42" i="54"/>
  <c r="N42" i="54"/>
  <c r="M42" i="54"/>
  <c r="L42" i="54"/>
  <c r="K42" i="54"/>
  <c r="J42" i="54"/>
  <c r="J43" i="54" s="1"/>
  <c r="I42" i="54"/>
  <c r="H42" i="54"/>
  <c r="G42" i="54"/>
  <c r="F42" i="54"/>
  <c r="E42" i="54"/>
  <c r="D42" i="54"/>
  <c r="C42" i="54"/>
  <c r="Z42" i="53"/>
  <c r="Y42" i="53"/>
  <c r="X42" i="53"/>
  <c r="W42" i="53"/>
  <c r="V42" i="53"/>
  <c r="U42" i="53"/>
  <c r="T42" i="53"/>
  <c r="S42" i="53"/>
  <c r="R42" i="53"/>
  <c r="Q42" i="53"/>
  <c r="P42" i="53"/>
  <c r="O42" i="53"/>
  <c r="N42" i="53"/>
  <c r="M42" i="53"/>
  <c r="L42" i="53"/>
  <c r="K42" i="53"/>
  <c r="J42" i="53"/>
  <c r="I42" i="53"/>
  <c r="H42" i="53"/>
  <c r="G42" i="53"/>
  <c r="F42" i="53"/>
  <c r="E42" i="53"/>
  <c r="D42" i="53"/>
  <c r="C42" i="53"/>
  <c r="Z36" i="54"/>
  <c r="Y36" i="54"/>
  <c r="X36" i="54"/>
  <c r="W36" i="54"/>
  <c r="V36" i="54"/>
  <c r="U36" i="54"/>
  <c r="T36" i="54"/>
  <c r="S36" i="54"/>
  <c r="R36" i="54"/>
  <c r="Q36" i="54"/>
  <c r="P36" i="54"/>
  <c r="O36" i="54"/>
  <c r="N36" i="54"/>
  <c r="M36" i="54"/>
  <c r="L36" i="54"/>
  <c r="K36" i="54"/>
  <c r="J36" i="54"/>
  <c r="I36" i="54"/>
  <c r="H36" i="54"/>
  <c r="G36" i="54"/>
  <c r="F36" i="54"/>
  <c r="E36" i="54"/>
  <c r="D36" i="54"/>
  <c r="C36" i="54"/>
  <c r="Z36" i="53"/>
  <c r="Y36" i="53"/>
  <c r="X36" i="53"/>
  <c r="W36" i="53"/>
  <c r="V36" i="53"/>
  <c r="U36" i="53"/>
  <c r="T36" i="53"/>
  <c r="S36" i="53"/>
  <c r="R36" i="53"/>
  <c r="Q36" i="53"/>
  <c r="P36" i="53"/>
  <c r="O36" i="53"/>
  <c r="N36" i="53"/>
  <c r="M36" i="53"/>
  <c r="L36" i="53"/>
  <c r="K36" i="53"/>
  <c r="J36" i="53"/>
  <c r="I36" i="53"/>
  <c r="H36" i="53"/>
  <c r="G36" i="53"/>
  <c r="F36" i="53"/>
  <c r="E36" i="53"/>
  <c r="D36" i="53"/>
  <c r="C36" i="53"/>
  <c r="Z32" i="54"/>
  <c r="Y32" i="54"/>
  <c r="X32" i="54"/>
  <c r="W32" i="54"/>
  <c r="V32" i="54"/>
  <c r="U32" i="54"/>
  <c r="T32" i="54"/>
  <c r="T43" i="54" s="1"/>
  <c r="S32" i="54"/>
  <c r="R32" i="54"/>
  <c r="Q32" i="54"/>
  <c r="P32" i="54"/>
  <c r="O32" i="54"/>
  <c r="N32" i="54"/>
  <c r="M32" i="54"/>
  <c r="L32" i="54"/>
  <c r="K32" i="54"/>
  <c r="J32" i="54"/>
  <c r="I32" i="54"/>
  <c r="H32" i="54"/>
  <c r="G32" i="54"/>
  <c r="F32" i="54"/>
  <c r="E32" i="54"/>
  <c r="D32" i="54"/>
  <c r="C32" i="54"/>
  <c r="Z32" i="53"/>
  <c r="Y32" i="53"/>
  <c r="X32" i="53"/>
  <c r="X43" i="53" s="1"/>
  <c r="W32" i="53"/>
  <c r="W43" i="53" s="1"/>
  <c r="V32" i="53"/>
  <c r="U32" i="53"/>
  <c r="T32" i="53"/>
  <c r="S32" i="53"/>
  <c r="S43" i="53" s="1"/>
  <c r="R32" i="53"/>
  <c r="Q32" i="53"/>
  <c r="P32" i="53"/>
  <c r="O32" i="53"/>
  <c r="O43" i="53" s="1"/>
  <c r="N32" i="53"/>
  <c r="M32" i="53"/>
  <c r="L32" i="53"/>
  <c r="K32" i="53"/>
  <c r="K43" i="53" s="1"/>
  <c r="J32" i="53"/>
  <c r="I32" i="53"/>
  <c r="H32" i="53"/>
  <c r="H43" i="53" s="1"/>
  <c r="G32" i="53"/>
  <c r="G43" i="53" s="1"/>
  <c r="F32" i="53"/>
  <c r="E32" i="53"/>
  <c r="D32" i="53"/>
  <c r="C32" i="53"/>
  <c r="C43" i="53" s="1"/>
  <c r="Z27" i="54"/>
  <c r="Y27" i="54"/>
  <c r="Y43" i="54" s="1"/>
  <c r="X27" i="54"/>
  <c r="W27" i="54"/>
  <c r="W43" i="54" s="1"/>
  <c r="V27" i="54"/>
  <c r="V43" i="54" s="1"/>
  <c r="U27" i="54"/>
  <c r="U43" i="54" s="1"/>
  <c r="T27" i="54"/>
  <c r="S27" i="54"/>
  <c r="S43" i="54" s="1"/>
  <c r="R27" i="54"/>
  <c r="Q27" i="54"/>
  <c r="Q43" i="54" s="1"/>
  <c r="P27" i="54"/>
  <c r="O27" i="54"/>
  <c r="O43" i="54" s="1"/>
  <c r="N27" i="54"/>
  <c r="M27" i="54"/>
  <c r="M43" i="54" s="1"/>
  <c r="L27" i="54"/>
  <c r="K27" i="54"/>
  <c r="K43" i="54" s="1"/>
  <c r="J27" i="54"/>
  <c r="I27" i="54"/>
  <c r="H27" i="54"/>
  <c r="G27" i="54"/>
  <c r="G43" i="54" s="1"/>
  <c r="F27" i="54"/>
  <c r="E27" i="54"/>
  <c r="E43" i="54" s="1"/>
  <c r="D27" i="54"/>
  <c r="C27" i="54"/>
  <c r="C43" i="54" s="1"/>
  <c r="Z27" i="53"/>
  <c r="Y27" i="53"/>
  <c r="Y43" i="53" s="1"/>
  <c r="X27" i="53"/>
  <c r="W27" i="53"/>
  <c r="V27" i="53"/>
  <c r="U27" i="53"/>
  <c r="U43" i="53" s="1"/>
  <c r="T27" i="53"/>
  <c r="S27" i="53"/>
  <c r="R27" i="53"/>
  <c r="Q27" i="53"/>
  <c r="Q43" i="53" s="1"/>
  <c r="P27" i="53"/>
  <c r="O27" i="53"/>
  <c r="N27" i="53"/>
  <c r="M27" i="53"/>
  <c r="M43" i="53" s="1"/>
  <c r="L27" i="53"/>
  <c r="K27" i="53"/>
  <c r="J27" i="53"/>
  <c r="J43" i="53" s="1"/>
  <c r="I27" i="53"/>
  <c r="I43" i="53" s="1"/>
  <c r="H27" i="53"/>
  <c r="G27" i="53"/>
  <c r="F27" i="53"/>
  <c r="E27" i="53"/>
  <c r="E43" i="53" s="1"/>
  <c r="D27" i="53"/>
  <c r="C27" i="53"/>
  <c r="Z27" i="52"/>
  <c r="Y27" i="52"/>
  <c r="X27" i="52"/>
  <c r="X43" i="52" s="1"/>
  <c r="W27" i="52"/>
  <c r="V27" i="52"/>
  <c r="U27" i="52"/>
  <c r="T27" i="52"/>
  <c r="T43" i="52" s="1"/>
  <c r="S27" i="52"/>
  <c r="R27" i="52"/>
  <c r="Q27" i="52"/>
  <c r="P27" i="52"/>
  <c r="P43" i="52" s="1"/>
  <c r="O27" i="52"/>
  <c r="N27" i="52"/>
  <c r="M27" i="52"/>
  <c r="L27" i="52"/>
  <c r="L43" i="52" s="1"/>
  <c r="K27" i="52"/>
  <c r="J27" i="52"/>
  <c r="I27" i="52"/>
  <c r="H27" i="52"/>
  <c r="H43" i="52" s="1"/>
  <c r="G27" i="52"/>
  <c r="F27" i="52"/>
  <c r="E27" i="52"/>
  <c r="E43" i="52" s="1"/>
  <c r="D27" i="52"/>
  <c r="D43" i="52" s="1"/>
  <c r="C27" i="52"/>
  <c r="W22" i="54"/>
  <c r="O22" i="54"/>
  <c r="G22" i="54"/>
  <c r="U22" i="53"/>
  <c r="E22" i="53"/>
  <c r="C22" i="53"/>
  <c r="Z20" i="54"/>
  <c r="Y20" i="54"/>
  <c r="X20" i="54"/>
  <c r="W20" i="54"/>
  <c r="V20" i="54"/>
  <c r="U20" i="54"/>
  <c r="T20" i="54"/>
  <c r="S20" i="54"/>
  <c r="R20" i="54"/>
  <c r="R22" i="54" s="1"/>
  <c r="Q20" i="54"/>
  <c r="P20" i="54"/>
  <c r="O20" i="54"/>
  <c r="N20" i="54"/>
  <c r="M20" i="54"/>
  <c r="L20" i="54"/>
  <c r="K20" i="54"/>
  <c r="J20" i="54"/>
  <c r="I20" i="54"/>
  <c r="H20" i="54"/>
  <c r="G20" i="54"/>
  <c r="F20" i="54"/>
  <c r="E20" i="54"/>
  <c r="D20" i="54"/>
  <c r="C20" i="54"/>
  <c r="Z20" i="53"/>
  <c r="Y20" i="53"/>
  <c r="Y22" i="53" s="1"/>
  <c r="X20" i="53"/>
  <c r="W20" i="53"/>
  <c r="V20" i="53"/>
  <c r="U20" i="53"/>
  <c r="T20" i="53"/>
  <c r="S20" i="53"/>
  <c r="R20" i="53"/>
  <c r="Q20" i="53"/>
  <c r="Q22" i="53" s="1"/>
  <c r="P20" i="53"/>
  <c r="O20" i="53"/>
  <c r="N20" i="53"/>
  <c r="M20" i="53"/>
  <c r="L20" i="53"/>
  <c r="K20" i="53"/>
  <c r="J20" i="53"/>
  <c r="I20" i="53"/>
  <c r="I22" i="53" s="1"/>
  <c r="H20" i="53"/>
  <c r="G20" i="53"/>
  <c r="F20" i="53"/>
  <c r="E20" i="53"/>
  <c r="D20" i="53"/>
  <c r="C20" i="53"/>
  <c r="Z17" i="54"/>
  <c r="Y17" i="54"/>
  <c r="X17" i="54"/>
  <c r="W17" i="54"/>
  <c r="V17" i="54"/>
  <c r="U17" i="54"/>
  <c r="T17" i="54"/>
  <c r="S17" i="54"/>
  <c r="S22" i="54" s="1"/>
  <c r="R17" i="54"/>
  <c r="Q17" i="54"/>
  <c r="P17" i="54"/>
  <c r="O17" i="54"/>
  <c r="N17" i="54"/>
  <c r="M17" i="54"/>
  <c r="L17" i="54"/>
  <c r="K17" i="54"/>
  <c r="J17" i="54"/>
  <c r="I17" i="54"/>
  <c r="I22" i="54" s="1"/>
  <c r="H17" i="54"/>
  <c r="G17" i="54"/>
  <c r="F17" i="54"/>
  <c r="E17" i="54"/>
  <c r="E22" i="54" s="1"/>
  <c r="D17" i="54"/>
  <c r="C17" i="54"/>
  <c r="C22" i="54" s="1"/>
  <c r="Z17" i="53"/>
  <c r="Y17" i="53"/>
  <c r="X17" i="53"/>
  <c r="W17" i="53"/>
  <c r="V17" i="53"/>
  <c r="U17" i="53"/>
  <c r="T17" i="53"/>
  <c r="S17" i="53"/>
  <c r="R17" i="53"/>
  <c r="Q17" i="53"/>
  <c r="P17" i="53"/>
  <c r="O17" i="53"/>
  <c r="N17" i="53"/>
  <c r="M17" i="53"/>
  <c r="L17" i="53"/>
  <c r="K17" i="53"/>
  <c r="J17" i="53"/>
  <c r="J22" i="53" s="1"/>
  <c r="I17" i="53"/>
  <c r="H17" i="53"/>
  <c r="G17" i="53"/>
  <c r="F17" i="53"/>
  <c r="F22" i="53" s="1"/>
  <c r="E17" i="53"/>
  <c r="D17" i="53"/>
  <c r="C17" i="53"/>
  <c r="Z13" i="54"/>
  <c r="Z22" i="54" s="1"/>
  <c r="Y13" i="54"/>
  <c r="X13" i="54"/>
  <c r="X22" i="54" s="1"/>
  <c r="W13" i="54"/>
  <c r="V13" i="54"/>
  <c r="U13" i="54"/>
  <c r="T13" i="54"/>
  <c r="T22" i="54" s="1"/>
  <c r="S13" i="54"/>
  <c r="R13" i="54"/>
  <c r="Q13" i="54"/>
  <c r="P13" i="54"/>
  <c r="P22" i="54" s="1"/>
  <c r="O13" i="54"/>
  <c r="N13" i="54"/>
  <c r="N22" i="54" s="1"/>
  <c r="M13" i="54"/>
  <c r="L13" i="54"/>
  <c r="L22" i="54" s="1"/>
  <c r="K13" i="54"/>
  <c r="J13" i="54"/>
  <c r="I13" i="54"/>
  <c r="H13" i="54"/>
  <c r="H22" i="54" s="1"/>
  <c r="G13" i="54"/>
  <c r="F13" i="54"/>
  <c r="F22" i="54" s="1"/>
  <c r="E13" i="54"/>
  <c r="D13" i="54"/>
  <c r="D22" i="54" s="1"/>
  <c r="C13" i="54"/>
  <c r="Z13" i="53"/>
  <c r="Y13" i="53"/>
  <c r="X13" i="53"/>
  <c r="X22" i="53" s="1"/>
  <c r="W13" i="53"/>
  <c r="W22" i="53" s="1"/>
  <c r="V13" i="53"/>
  <c r="U13" i="53"/>
  <c r="T13" i="53"/>
  <c r="T22" i="53" s="1"/>
  <c r="S13" i="53"/>
  <c r="S22" i="53" s="1"/>
  <c r="R13" i="53"/>
  <c r="Q13" i="53"/>
  <c r="P13" i="53"/>
  <c r="P22" i="53" s="1"/>
  <c r="O13" i="53"/>
  <c r="O22" i="53" s="1"/>
  <c r="N13" i="53"/>
  <c r="M13" i="53"/>
  <c r="M22" i="53" s="1"/>
  <c r="L13" i="53"/>
  <c r="L22" i="53" s="1"/>
  <c r="K13" i="53"/>
  <c r="K22" i="53" s="1"/>
  <c r="J13" i="53"/>
  <c r="I13" i="53"/>
  <c r="H13" i="53"/>
  <c r="H22" i="53" s="1"/>
  <c r="G13" i="53"/>
  <c r="G22" i="53" s="1"/>
  <c r="F13" i="53"/>
  <c r="E13" i="53"/>
  <c r="D13" i="53"/>
  <c r="D22" i="53" s="1"/>
  <c r="C13" i="53"/>
  <c r="G20" i="52"/>
  <c r="H20" i="52"/>
  <c r="I20" i="52"/>
  <c r="I22" i="52" s="1"/>
  <c r="J20" i="52"/>
  <c r="K20" i="52"/>
  <c r="L20" i="52"/>
  <c r="M20" i="52"/>
  <c r="N20" i="52"/>
  <c r="O20" i="52"/>
  <c r="P20" i="52"/>
  <c r="Q20" i="52"/>
  <c r="Q22" i="52" s="1"/>
  <c r="R20" i="52"/>
  <c r="R22" i="52" s="1"/>
  <c r="S20" i="52"/>
  <c r="T20" i="52"/>
  <c r="U20" i="52"/>
  <c r="V20" i="52"/>
  <c r="V22" i="52" s="1"/>
  <c r="W20" i="52"/>
  <c r="X20" i="52"/>
  <c r="Y20" i="52"/>
  <c r="Y22" i="52" s="1"/>
  <c r="Y44" i="52" s="1"/>
  <c r="Z20" i="52"/>
  <c r="C20" i="52"/>
  <c r="D20" i="52"/>
  <c r="E20" i="52"/>
  <c r="G17" i="52"/>
  <c r="H17" i="52"/>
  <c r="I17" i="52"/>
  <c r="J17" i="52"/>
  <c r="K17" i="52"/>
  <c r="L17" i="52"/>
  <c r="M17" i="52"/>
  <c r="N17" i="52"/>
  <c r="O17" i="52"/>
  <c r="P17" i="52"/>
  <c r="Q17" i="52"/>
  <c r="R17" i="52"/>
  <c r="S17" i="52"/>
  <c r="T17" i="52"/>
  <c r="U17" i="52"/>
  <c r="V17" i="52"/>
  <c r="W17" i="52"/>
  <c r="X17" i="52"/>
  <c r="Y17" i="52"/>
  <c r="Z17" i="52"/>
  <c r="C17" i="52"/>
  <c r="D17" i="52"/>
  <c r="D22" i="52" s="1"/>
  <c r="E17" i="52"/>
  <c r="G13" i="52"/>
  <c r="H13" i="52"/>
  <c r="H22" i="52" s="1"/>
  <c r="H44" i="52" s="1"/>
  <c r="I13" i="52"/>
  <c r="J13" i="52"/>
  <c r="K13" i="52"/>
  <c r="L13" i="52"/>
  <c r="L22" i="52" s="1"/>
  <c r="L44" i="52" s="1"/>
  <c r="M13" i="52"/>
  <c r="N13" i="52"/>
  <c r="O13" i="52"/>
  <c r="P13" i="52"/>
  <c r="P22" i="52" s="1"/>
  <c r="P44" i="52" s="1"/>
  <c r="Q13" i="52"/>
  <c r="R13" i="52"/>
  <c r="S13" i="52"/>
  <c r="T13" i="52"/>
  <c r="T22" i="52" s="1"/>
  <c r="T44" i="52" s="1"/>
  <c r="U13" i="52"/>
  <c r="V13" i="52"/>
  <c r="W13" i="52"/>
  <c r="X13" i="52"/>
  <c r="X22" i="52" s="1"/>
  <c r="X44" i="52" s="1"/>
  <c r="Y13" i="52"/>
  <c r="Z13" i="52"/>
  <c r="C13" i="52"/>
  <c r="D13" i="52"/>
  <c r="E13" i="52"/>
  <c r="E22" i="52" s="1"/>
  <c r="E44" i="52" s="1"/>
  <c r="M22" i="52"/>
  <c r="N22" i="52"/>
  <c r="G43" i="52"/>
  <c r="I43" i="52"/>
  <c r="M43" i="52"/>
  <c r="Q43" i="52"/>
  <c r="U43" i="52"/>
  <c r="Y43" i="52"/>
  <c r="AB12" i="52"/>
  <c r="AB19" i="52"/>
  <c r="AB15" i="52"/>
  <c r="AB16" i="52"/>
  <c r="AB29" i="52"/>
  <c r="AB35" i="52"/>
  <c r="AB41" i="52"/>
  <c r="AB29" i="51"/>
  <c r="AB41" i="51"/>
  <c r="AB12" i="51"/>
  <c r="AB19" i="51"/>
  <c r="D43" i="51"/>
  <c r="M43" i="51"/>
  <c r="P43" i="51"/>
  <c r="E43" i="51"/>
  <c r="G42" i="51"/>
  <c r="H42" i="51"/>
  <c r="I42" i="51"/>
  <c r="J42" i="51"/>
  <c r="K42" i="51"/>
  <c r="L42" i="51"/>
  <c r="M42" i="51"/>
  <c r="N42" i="51"/>
  <c r="O42" i="51"/>
  <c r="P42" i="51"/>
  <c r="Q42" i="51"/>
  <c r="R42" i="51"/>
  <c r="S42" i="51"/>
  <c r="T42" i="51"/>
  <c r="U42" i="51"/>
  <c r="V42" i="51"/>
  <c r="V43" i="51" s="1"/>
  <c r="W42" i="51"/>
  <c r="X42" i="51"/>
  <c r="Y42" i="51"/>
  <c r="Z42" i="51"/>
  <c r="C42" i="51"/>
  <c r="D42" i="51"/>
  <c r="E42" i="51"/>
  <c r="G32" i="51"/>
  <c r="H32" i="51"/>
  <c r="I32" i="51"/>
  <c r="J32" i="51"/>
  <c r="K32" i="51"/>
  <c r="L32" i="51"/>
  <c r="M32" i="51"/>
  <c r="N32" i="51"/>
  <c r="O32" i="51"/>
  <c r="P32" i="51"/>
  <c r="Q32" i="51"/>
  <c r="R32" i="51"/>
  <c r="S32" i="51"/>
  <c r="T32" i="51"/>
  <c r="U32" i="51"/>
  <c r="V32" i="51"/>
  <c r="W32" i="51"/>
  <c r="X32" i="51"/>
  <c r="Y32" i="51"/>
  <c r="Z32" i="51"/>
  <c r="C32" i="51"/>
  <c r="D32" i="51"/>
  <c r="E32" i="51"/>
  <c r="G27" i="51"/>
  <c r="H27" i="51"/>
  <c r="H43" i="51" s="1"/>
  <c r="I27" i="51"/>
  <c r="I43" i="51" s="1"/>
  <c r="J27" i="51"/>
  <c r="J43" i="51" s="1"/>
  <c r="K27" i="51"/>
  <c r="L27" i="51"/>
  <c r="L43" i="51" s="1"/>
  <c r="M27" i="51"/>
  <c r="N27" i="51"/>
  <c r="O27" i="51"/>
  <c r="P27" i="51"/>
  <c r="Q27" i="51"/>
  <c r="Q43" i="51" s="1"/>
  <c r="R27" i="51"/>
  <c r="R43" i="51" s="1"/>
  <c r="S27" i="51"/>
  <c r="T27" i="51"/>
  <c r="T43" i="51" s="1"/>
  <c r="U27" i="51"/>
  <c r="U43" i="51" s="1"/>
  <c r="V27" i="51"/>
  <c r="W27" i="51"/>
  <c r="X27" i="51"/>
  <c r="X43" i="51" s="1"/>
  <c r="Y27" i="51"/>
  <c r="Y43" i="51" s="1"/>
  <c r="Z27" i="51"/>
  <c r="C27" i="51"/>
  <c r="D27" i="51"/>
  <c r="E27" i="51"/>
  <c r="H22" i="51"/>
  <c r="O22" i="51"/>
  <c r="T22" i="51"/>
  <c r="W22" i="51"/>
  <c r="D22" i="51"/>
  <c r="G13" i="51"/>
  <c r="H13" i="51"/>
  <c r="I13" i="51"/>
  <c r="I22" i="51" s="1"/>
  <c r="J13" i="51"/>
  <c r="K13" i="51"/>
  <c r="L13" i="51"/>
  <c r="L22" i="51" s="1"/>
  <c r="M13" i="51"/>
  <c r="M22" i="51" s="1"/>
  <c r="N13" i="51"/>
  <c r="O13" i="51"/>
  <c r="P13" i="51"/>
  <c r="P22" i="51" s="1"/>
  <c r="Q13" i="51"/>
  <c r="Q22" i="51" s="1"/>
  <c r="S13" i="51"/>
  <c r="T13" i="51"/>
  <c r="U13" i="51"/>
  <c r="U22" i="51" s="1"/>
  <c r="V13" i="51"/>
  <c r="W13" i="51"/>
  <c r="X13" i="51"/>
  <c r="X22" i="51" s="1"/>
  <c r="Y13" i="51"/>
  <c r="Y22" i="51" s="1"/>
  <c r="Z13" i="51"/>
  <c r="C13" i="51"/>
  <c r="D13" i="51"/>
  <c r="E13" i="51"/>
  <c r="E22" i="51" s="1"/>
  <c r="G20" i="51"/>
  <c r="G22" i="51" s="1"/>
  <c r="H20" i="51"/>
  <c r="I20" i="51"/>
  <c r="J20" i="51"/>
  <c r="K20" i="51"/>
  <c r="L20" i="51"/>
  <c r="M20" i="51"/>
  <c r="N20" i="51"/>
  <c r="O20" i="51"/>
  <c r="P20" i="51"/>
  <c r="Q20" i="51"/>
  <c r="R20" i="51"/>
  <c r="S20" i="51"/>
  <c r="S22" i="51" s="1"/>
  <c r="T20" i="51"/>
  <c r="U20" i="51"/>
  <c r="V20" i="51"/>
  <c r="W20" i="51"/>
  <c r="X20" i="51"/>
  <c r="Y20" i="51"/>
  <c r="Z20" i="51"/>
  <c r="G17" i="51"/>
  <c r="H17" i="51"/>
  <c r="I17" i="51"/>
  <c r="J17" i="51"/>
  <c r="J22" i="51" s="1"/>
  <c r="K17" i="51"/>
  <c r="L17" i="51"/>
  <c r="M17" i="51"/>
  <c r="N17" i="51"/>
  <c r="N22" i="51" s="1"/>
  <c r="O17" i="51"/>
  <c r="P17" i="51"/>
  <c r="Q17" i="51"/>
  <c r="R17" i="51"/>
  <c r="S17" i="51"/>
  <c r="T17" i="51"/>
  <c r="U17" i="51"/>
  <c r="V17" i="51"/>
  <c r="W17" i="51"/>
  <c r="X17" i="51"/>
  <c r="Y17" i="51"/>
  <c r="Z17" i="51"/>
  <c r="Z22" i="51" s="1"/>
  <c r="C17" i="51"/>
  <c r="C22" i="51" s="1"/>
  <c r="D17" i="51"/>
  <c r="E17" i="51"/>
  <c r="C20" i="51"/>
  <c r="D20" i="51"/>
  <c r="E20" i="51"/>
  <c r="AB15" i="51"/>
  <c r="AB16" i="51"/>
  <c r="AB35" i="51"/>
  <c r="Y17" i="50"/>
  <c r="Y22" i="50" s="1"/>
  <c r="X17" i="50"/>
  <c r="AC30" i="50"/>
  <c r="AC39" i="50"/>
  <c r="Z36" i="52"/>
  <c r="Y36" i="52"/>
  <c r="X36" i="52"/>
  <c r="W36" i="52"/>
  <c r="W43" i="52" s="1"/>
  <c r="V36" i="52"/>
  <c r="U36" i="52"/>
  <c r="T36" i="52"/>
  <c r="S36" i="52"/>
  <c r="S43" i="52" s="1"/>
  <c r="R36" i="52"/>
  <c r="Q36" i="52"/>
  <c r="P36" i="52"/>
  <c r="O36" i="52"/>
  <c r="O43" i="52" s="1"/>
  <c r="N36" i="52"/>
  <c r="M36" i="52"/>
  <c r="L36" i="52"/>
  <c r="K36" i="52"/>
  <c r="K43" i="52" s="1"/>
  <c r="J36" i="52"/>
  <c r="I36" i="52"/>
  <c r="H36" i="52"/>
  <c r="G36" i="52"/>
  <c r="F36" i="52"/>
  <c r="E36" i="52"/>
  <c r="D36" i="52"/>
  <c r="C36" i="52"/>
  <c r="C43" i="52" s="1"/>
  <c r="Z36" i="51"/>
  <c r="Y36" i="51"/>
  <c r="X36" i="51"/>
  <c r="W36" i="51"/>
  <c r="W43" i="51" s="1"/>
  <c r="V36" i="51"/>
  <c r="U36" i="51"/>
  <c r="T36" i="51"/>
  <c r="S36" i="51"/>
  <c r="R36" i="51"/>
  <c r="Q36" i="51"/>
  <c r="P36" i="51"/>
  <c r="O36" i="51"/>
  <c r="N36" i="51"/>
  <c r="M36" i="51"/>
  <c r="L36" i="51"/>
  <c r="K36" i="51"/>
  <c r="J36" i="51"/>
  <c r="I36" i="51"/>
  <c r="H36" i="51"/>
  <c r="G36" i="51"/>
  <c r="F36" i="51"/>
  <c r="E36" i="51"/>
  <c r="D36" i="51"/>
  <c r="C36" i="51"/>
  <c r="Z36" i="50"/>
  <c r="Y36" i="50"/>
  <c r="X36" i="50"/>
  <c r="W36" i="50"/>
  <c r="W43" i="50" s="1"/>
  <c r="V36" i="50"/>
  <c r="U36" i="50"/>
  <c r="T36" i="50"/>
  <c r="S36" i="50"/>
  <c r="R36" i="50"/>
  <c r="Q36" i="50"/>
  <c r="P36" i="50"/>
  <c r="O36" i="50"/>
  <c r="N36" i="50"/>
  <c r="M36" i="50"/>
  <c r="L36" i="50"/>
  <c r="K36" i="50"/>
  <c r="J36" i="50"/>
  <c r="I36" i="50"/>
  <c r="H36" i="50"/>
  <c r="G36" i="50"/>
  <c r="F36" i="50"/>
  <c r="E36" i="50"/>
  <c r="D36" i="50"/>
  <c r="C36" i="50"/>
  <c r="M44" i="52"/>
  <c r="Y43" i="50"/>
  <c r="X43" i="50"/>
  <c r="U43" i="50"/>
  <c r="T43" i="50"/>
  <c r="S43" i="50"/>
  <c r="Q43" i="50"/>
  <c r="P43" i="50"/>
  <c r="O43" i="50"/>
  <c r="M43" i="50"/>
  <c r="L43" i="50"/>
  <c r="K43" i="50"/>
  <c r="I43" i="50"/>
  <c r="H43" i="50"/>
  <c r="G43" i="50"/>
  <c r="E43" i="50"/>
  <c r="D43" i="50"/>
  <c r="C43" i="50"/>
  <c r="Y30" i="55"/>
  <c r="Y39" i="55"/>
  <c r="Z39" i="55"/>
  <c r="Q39" i="55"/>
  <c r="U39" i="55"/>
  <c r="U30" i="55"/>
  <c r="Q30" i="55"/>
  <c r="M30" i="55"/>
  <c r="I30" i="55"/>
  <c r="E30" i="55"/>
  <c r="AA30" i="55"/>
  <c r="AB30" i="55"/>
  <c r="I33" i="55"/>
  <c r="J41" i="55"/>
  <c r="J40" i="55"/>
  <c r="J39" i="55"/>
  <c r="J38" i="55"/>
  <c r="J37" i="55"/>
  <c r="J35" i="55"/>
  <c r="J34" i="55"/>
  <c r="J33" i="55"/>
  <c r="J31" i="55"/>
  <c r="J30" i="55"/>
  <c r="J29" i="55"/>
  <c r="J28" i="55"/>
  <c r="J26" i="55"/>
  <c r="J25" i="55"/>
  <c r="J24" i="55"/>
  <c r="J23" i="55"/>
  <c r="J21" i="55"/>
  <c r="J19" i="55"/>
  <c r="J18" i="55"/>
  <c r="J16" i="55"/>
  <c r="J15" i="55"/>
  <c r="J14" i="55"/>
  <c r="J12" i="55"/>
  <c r="J11" i="55"/>
  <c r="J10" i="55"/>
  <c r="J9" i="55"/>
  <c r="V39" i="55"/>
  <c r="R39" i="55"/>
  <c r="N39" i="55"/>
  <c r="F39" i="55"/>
  <c r="AD39" i="54"/>
  <c r="AD39" i="53"/>
  <c r="AD39" i="51"/>
  <c r="AD39" i="50"/>
  <c r="AC30" i="55"/>
  <c r="Z30" i="55"/>
  <c r="V30" i="55"/>
  <c r="R30" i="55"/>
  <c r="N30" i="55"/>
  <c r="F30" i="55"/>
  <c r="AD30" i="54"/>
  <c r="AD30" i="53"/>
  <c r="AD30" i="50"/>
  <c r="AD30" i="51"/>
  <c r="Q31" i="70"/>
  <c r="V13" i="82"/>
  <c r="W13" i="82"/>
  <c r="O13" i="82"/>
  <c r="K13" i="82"/>
  <c r="V22" i="51" l="1"/>
  <c r="S43" i="51"/>
  <c r="Q44" i="52"/>
  <c r="I44" i="52"/>
  <c r="C43" i="51"/>
  <c r="P13" i="82"/>
  <c r="C44" i="51"/>
  <c r="M22" i="54"/>
  <c r="Q22" i="54"/>
  <c r="U22" i="54"/>
  <c r="Y22" i="54"/>
  <c r="Y13" i="82"/>
  <c r="Z43" i="51"/>
  <c r="N43" i="51"/>
  <c r="O43" i="51"/>
  <c r="V22" i="54"/>
  <c r="X13" i="82"/>
  <c r="K22" i="51"/>
  <c r="C22" i="52"/>
  <c r="C44" i="52" s="1"/>
  <c r="U22" i="52"/>
  <c r="U44" i="52" s="1"/>
  <c r="D44" i="52"/>
  <c r="Z22" i="52"/>
  <c r="J22" i="52"/>
  <c r="K22" i="54"/>
  <c r="D43" i="53"/>
  <c r="P43" i="53"/>
  <c r="F43" i="54"/>
  <c r="N43" i="54"/>
  <c r="R43" i="54"/>
  <c r="K43" i="51"/>
  <c r="G43" i="51"/>
  <c r="W22" i="52"/>
  <c r="W44" i="52" s="1"/>
  <c r="S22" i="52"/>
  <c r="S44" i="52" s="1"/>
  <c r="O22" i="52"/>
  <c r="O44" i="52" s="1"/>
  <c r="K22" i="52"/>
  <c r="K44" i="52" s="1"/>
  <c r="G22" i="52"/>
  <c r="G44" i="52" s="1"/>
  <c r="R22" i="53"/>
  <c r="V22" i="53"/>
  <c r="Z22" i="53"/>
  <c r="N43" i="53"/>
  <c r="R43" i="53"/>
  <c r="V43" i="53"/>
  <c r="Z43" i="53"/>
  <c r="D43" i="54"/>
  <c r="H43" i="54"/>
  <c r="L43" i="54"/>
  <c r="N22" i="53"/>
  <c r="J20" i="55"/>
  <c r="J13" i="55"/>
  <c r="J22" i="55" s="1"/>
  <c r="J17" i="55"/>
  <c r="J36" i="55"/>
  <c r="J42" i="55"/>
  <c r="AC39" i="55"/>
  <c r="AD39" i="55"/>
  <c r="J22" i="54"/>
  <c r="J32" i="55"/>
  <c r="AD30" i="55"/>
  <c r="J27" i="55"/>
  <c r="C17" i="80"/>
  <c r="D17" i="80"/>
  <c r="E17" i="80"/>
  <c r="F17" i="80"/>
  <c r="G17" i="80"/>
  <c r="H17" i="80"/>
  <c r="K17" i="80" s="1"/>
  <c r="I17" i="80"/>
  <c r="J17" i="80"/>
  <c r="L17" i="80"/>
  <c r="O17" i="80" s="1"/>
  <c r="M17" i="80"/>
  <c r="N17" i="80"/>
  <c r="Q17" i="80"/>
  <c r="R17" i="80"/>
  <c r="S17" i="80"/>
  <c r="V17" i="80" s="1"/>
  <c r="T17" i="80"/>
  <c r="U17" i="80"/>
  <c r="V17" i="81"/>
  <c r="O17" i="81"/>
  <c r="X17" i="81" s="1"/>
  <c r="K17" i="81"/>
  <c r="Y13" i="81"/>
  <c r="X13" i="81"/>
  <c r="W13" i="81"/>
  <c r="V13" i="81"/>
  <c r="J20" i="36"/>
  <c r="M55" i="95"/>
  <c r="X17" i="80" l="1"/>
  <c r="P17" i="80"/>
  <c r="Y17" i="80"/>
  <c r="W17" i="80"/>
  <c r="P17" i="81"/>
  <c r="J43" i="55"/>
  <c r="W17" i="81"/>
  <c r="Y17" i="81"/>
  <c r="V31" i="85"/>
  <c r="V32" i="85"/>
  <c r="W32" i="85"/>
  <c r="Y32" i="85"/>
  <c r="X32" i="85"/>
  <c r="K32" i="85"/>
  <c r="P32" i="85" s="1"/>
  <c r="H28" i="44"/>
  <c r="H24" i="44"/>
  <c r="F9" i="51"/>
  <c r="R9" i="51"/>
  <c r="R13" i="51" s="1"/>
  <c r="R22" i="51" s="1"/>
  <c r="E41" i="62"/>
  <c r="E42" i="62"/>
  <c r="E43" i="62"/>
  <c r="E44" i="62"/>
  <c r="E45" i="62"/>
  <c r="E46" i="62"/>
  <c r="E47" i="62"/>
  <c r="E40" i="62"/>
  <c r="E39" i="62"/>
  <c r="F29" i="68"/>
  <c r="F28" i="68"/>
  <c r="F18" i="68"/>
  <c r="F17" i="68"/>
  <c r="F16" i="68"/>
  <c r="F14" i="68"/>
  <c r="F13" i="68"/>
  <c r="F12" i="68"/>
  <c r="F11" i="68"/>
  <c r="F9" i="68"/>
  <c r="F8" i="68"/>
  <c r="F7" i="68"/>
  <c r="C37" i="71"/>
  <c r="D12" i="84"/>
  <c r="E12" i="84"/>
  <c r="F12" i="84"/>
  <c r="G12" i="84"/>
  <c r="H12" i="84"/>
  <c r="I12" i="84"/>
  <c r="J12" i="84"/>
  <c r="L12" i="84"/>
  <c r="M12" i="84"/>
  <c r="N12" i="84"/>
  <c r="Q12" i="84"/>
  <c r="R12" i="84"/>
  <c r="S12" i="84"/>
  <c r="T12" i="84"/>
  <c r="U12" i="84"/>
  <c r="C12" i="84"/>
  <c r="V13" i="84"/>
  <c r="O13" i="84"/>
  <c r="X13" i="84" s="1"/>
  <c r="K13" i="84"/>
  <c r="K12" i="84" s="1"/>
  <c r="D12" i="83"/>
  <c r="E12" i="83"/>
  <c r="F12" i="83"/>
  <c r="G12" i="83"/>
  <c r="H12" i="83"/>
  <c r="I12" i="83"/>
  <c r="J12" i="83"/>
  <c r="L12" i="83"/>
  <c r="M12" i="83"/>
  <c r="N12" i="83"/>
  <c r="Q12" i="83"/>
  <c r="R12" i="83"/>
  <c r="S12" i="83"/>
  <c r="T12" i="83"/>
  <c r="U12" i="83"/>
  <c r="C12" i="83"/>
  <c r="V13" i="83"/>
  <c r="O13" i="83"/>
  <c r="X13" i="83" s="1"/>
  <c r="K13" i="83"/>
  <c r="O12" i="84" l="1"/>
  <c r="P13" i="84"/>
  <c r="P12" i="84" s="1"/>
  <c r="W13" i="84"/>
  <c r="Y13" i="84"/>
  <c r="P13" i="83"/>
  <c r="W13" i="83"/>
  <c r="Y13" i="83"/>
  <c r="V19" i="81"/>
  <c r="J33" i="73"/>
  <c r="J32" i="73"/>
  <c r="J35" i="73"/>
  <c r="J36" i="73"/>
  <c r="J18" i="73"/>
  <c r="J17" i="73"/>
  <c r="J12" i="73"/>
  <c r="J11" i="73"/>
  <c r="J9" i="73"/>
  <c r="J8" i="73"/>
  <c r="M30" i="78"/>
  <c r="M29" i="78"/>
  <c r="M14" i="78"/>
  <c r="M61" i="78"/>
  <c r="M60" i="78"/>
  <c r="R13" i="47"/>
  <c r="R12" i="47"/>
  <c r="R11" i="47"/>
  <c r="R6" i="47"/>
  <c r="R5" i="47"/>
  <c r="R4" i="47"/>
  <c r="J59" i="46"/>
  <c r="I59" i="46"/>
  <c r="H59" i="46"/>
  <c r="G59" i="46"/>
  <c r="F59" i="46"/>
  <c r="E59" i="46"/>
  <c r="D59" i="46"/>
  <c r="C59" i="46"/>
  <c r="J58" i="46"/>
  <c r="I58" i="46"/>
  <c r="H58" i="46"/>
  <c r="G58" i="46"/>
  <c r="F58" i="46"/>
  <c r="E58" i="46"/>
  <c r="D58" i="46"/>
  <c r="C58" i="46"/>
  <c r="J57" i="46"/>
  <c r="I57" i="46"/>
  <c r="H57" i="46"/>
  <c r="G57" i="46"/>
  <c r="F57" i="46"/>
  <c r="E57" i="46"/>
  <c r="D57" i="46"/>
  <c r="C57" i="46"/>
  <c r="J56" i="46"/>
  <c r="I56" i="46"/>
  <c r="H56" i="46"/>
  <c r="G56" i="46"/>
  <c r="F56" i="46"/>
  <c r="E56" i="46"/>
  <c r="D56" i="46"/>
  <c r="C56" i="46"/>
  <c r="J49" i="46"/>
  <c r="I49" i="46"/>
  <c r="H49" i="46"/>
  <c r="G49" i="46"/>
  <c r="F49" i="46"/>
  <c r="E49" i="46"/>
  <c r="D49" i="46"/>
  <c r="C49" i="46"/>
  <c r="J48" i="46"/>
  <c r="I48" i="46"/>
  <c r="H48" i="46"/>
  <c r="G48" i="46"/>
  <c r="F48" i="46"/>
  <c r="E48" i="46"/>
  <c r="D48" i="46"/>
  <c r="C48" i="46"/>
  <c r="J47" i="46"/>
  <c r="I47" i="46"/>
  <c r="H47" i="46"/>
  <c r="G47" i="46"/>
  <c r="F47" i="46"/>
  <c r="E47" i="46"/>
  <c r="D47" i="46"/>
  <c r="C47" i="46"/>
  <c r="J46" i="46"/>
  <c r="I46" i="46"/>
  <c r="H46" i="46"/>
  <c r="G46" i="46"/>
  <c r="F46" i="46"/>
  <c r="E46" i="46"/>
  <c r="D46" i="46"/>
  <c r="C46" i="46"/>
  <c r="I40" i="46"/>
  <c r="G40" i="46"/>
  <c r="E40" i="46"/>
  <c r="C40" i="46"/>
  <c r="I39" i="46"/>
  <c r="G39" i="46"/>
  <c r="E39" i="46"/>
  <c r="C39" i="46"/>
  <c r="I38" i="46"/>
  <c r="G38" i="46"/>
  <c r="E38" i="46"/>
  <c r="C38" i="46"/>
  <c r="I36" i="46"/>
  <c r="G36" i="46"/>
  <c r="E36" i="46"/>
  <c r="C36" i="46"/>
  <c r="I35" i="46"/>
  <c r="G35" i="46"/>
  <c r="E35" i="46"/>
  <c r="C35" i="46"/>
  <c r="I34" i="46"/>
  <c r="G34" i="46"/>
  <c r="E34" i="46"/>
  <c r="C34" i="46"/>
  <c r="I32" i="46"/>
  <c r="G32" i="46"/>
  <c r="E32" i="46"/>
  <c r="C32" i="46"/>
  <c r="I31" i="46"/>
  <c r="G31" i="46"/>
  <c r="E31" i="46"/>
  <c r="C31" i="46"/>
  <c r="I29" i="46"/>
  <c r="G29" i="46"/>
  <c r="E29" i="46"/>
  <c r="C29" i="46"/>
  <c r="I28" i="46"/>
  <c r="G28" i="46"/>
  <c r="E28" i="46"/>
  <c r="C28" i="46"/>
  <c r="I27" i="46"/>
  <c r="G27" i="46"/>
  <c r="E27" i="46"/>
  <c r="C27" i="46"/>
  <c r="I26" i="46"/>
  <c r="G26" i="46"/>
  <c r="E26" i="46"/>
  <c r="C26" i="46"/>
  <c r="J19" i="46"/>
  <c r="I19" i="46"/>
  <c r="H19" i="46"/>
  <c r="G19" i="46"/>
  <c r="F19" i="46"/>
  <c r="E19" i="46"/>
  <c r="D19" i="46"/>
  <c r="C19" i="46"/>
  <c r="J18" i="46"/>
  <c r="I18" i="46"/>
  <c r="H18" i="46"/>
  <c r="G18" i="46"/>
  <c r="F18" i="46"/>
  <c r="E18" i="46"/>
  <c r="D18" i="46"/>
  <c r="C18" i="46"/>
  <c r="J17" i="46"/>
  <c r="I17" i="46"/>
  <c r="H17" i="46"/>
  <c r="G17" i="46"/>
  <c r="F17" i="46"/>
  <c r="E17" i="46"/>
  <c r="D17" i="46"/>
  <c r="C17" i="46"/>
  <c r="J16" i="46"/>
  <c r="I16" i="46"/>
  <c r="H16" i="46"/>
  <c r="G16" i="46"/>
  <c r="F16" i="46"/>
  <c r="E16" i="46"/>
  <c r="D16" i="46"/>
  <c r="C16" i="46"/>
  <c r="J15" i="46"/>
  <c r="I15" i="46"/>
  <c r="H15" i="46"/>
  <c r="G15" i="46"/>
  <c r="F15" i="46"/>
  <c r="E15" i="46"/>
  <c r="D15" i="46"/>
  <c r="C15" i="46"/>
  <c r="J14" i="46"/>
  <c r="I14" i="46"/>
  <c r="H14" i="46"/>
  <c r="G14" i="46"/>
  <c r="F14" i="46"/>
  <c r="E14" i="46"/>
  <c r="D14" i="46"/>
  <c r="C14" i="46"/>
  <c r="J13" i="46"/>
  <c r="I13" i="46"/>
  <c r="H13" i="46"/>
  <c r="G13" i="46"/>
  <c r="F13" i="46"/>
  <c r="E13" i="46"/>
  <c r="D13" i="46"/>
  <c r="C13" i="46"/>
  <c r="J12" i="46"/>
  <c r="I12" i="46"/>
  <c r="H12" i="46"/>
  <c r="G12" i="46"/>
  <c r="F12" i="46"/>
  <c r="E12" i="46"/>
  <c r="D12" i="46"/>
  <c r="C12" i="46"/>
  <c r="J11" i="46"/>
  <c r="I11" i="46"/>
  <c r="H11" i="46"/>
  <c r="G11" i="46"/>
  <c r="F11" i="46"/>
  <c r="E11" i="46"/>
  <c r="D11" i="46"/>
  <c r="C11" i="46"/>
  <c r="E18" i="38" l="1"/>
  <c r="C18" i="38"/>
  <c r="C18" i="30"/>
  <c r="E18" i="30"/>
  <c r="AE19" i="38"/>
  <c r="AC19" i="38"/>
  <c r="AA19" i="38"/>
  <c r="Y19" i="38"/>
  <c r="W19" i="38"/>
  <c r="U19" i="38"/>
  <c r="R19" i="38"/>
  <c r="S19" i="38" s="1"/>
  <c r="Q19" i="38"/>
  <c r="O19" i="38"/>
  <c r="M19" i="38"/>
  <c r="K19" i="38"/>
  <c r="H19" i="38"/>
  <c r="I19" i="38" s="1"/>
  <c r="F19" i="38"/>
  <c r="G19" i="38" s="1"/>
  <c r="AE18" i="38"/>
  <c r="AC18" i="38"/>
  <c r="AA18" i="38"/>
  <c r="Y18" i="38"/>
  <c r="W18" i="38"/>
  <c r="U18" i="38"/>
  <c r="R18" i="38"/>
  <c r="S18" i="38" s="1"/>
  <c r="Q18" i="38"/>
  <c r="O18" i="38"/>
  <c r="M18" i="38"/>
  <c r="K18" i="38"/>
  <c r="H18" i="38"/>
  <c r="I18" i="38" s="1"/>
  <c r="F18" i="38"/>
  <c r="G18" i="38" s="1"/>
  <c r="AE17" i="38"/>
  <c r="AC17" i="38"/>
  <c r="AA17" i="38"/>
  <c r="Y17" i="38"/>
  <c r="W17" i="38"/>
  <c r="U17" i="38"/>
  <c r="R17" i="38"/>
  <c r="S17" i="38" s="1"/>
  <c r="Q17" i="38"/>
  <c r="O17" i="38"/>
  <c r="M17" i="38"/>
  <c r="K17" i="38"/>
  <c r="H17" i="38"/>
  <c r="I17" i="38" s="1"/>
  <c r="F17" i="38"/>
  <c r="G17" i="38" s="1"/>
  <c r="E17" i="38"/>
  <c r="C17" i="38"/>
  <c r="AE16" i="38"/>
  <c r="AC16" i="38"/>
  <c r="AA16" i="38"/>
  <c r="Y16" i="38"/>
  <c r="W16" i="38"/>
  <c r="U16" i="38"/>
  <c r="R16" i="38"/>
  <c r="S16" i="38" s="1"/>
  <c r="Q16" i="38"/>
  <c r="O16" i="38"/>
  <c r="M16" i="38"/>
  <c r="K16" i="38"/>
  <c r="H16" i="38"/>
  <c r="I16" i="38" s="1"/>
  <c r="F16" i="38"/>
  <c r="G16" i="38" s="1"/>
  <c r="E16" i="38"/>
  <c r="C16" i="38"/>
  <c r="AE15" i="38"/>
  <c r="AC15" i="38"/>
  <c r="AA15" i="38"/>
  <c r="Y15" i="38"/>
  <c r="W15" i="38"/>
  <c r="U15" i="38"/>
  <c r="R15" i="38"/>
  <c r="S15" i="38" s="1"/>
  <c r="Q15" i="38"/>
  <c r="O15" i="38"/>
  <c r="M15" i="38"/>
  <c r="K15" i="38"/>
  <c r="H15" i="38"/>
  <c r="I15" i="38" s="1"/>
  <c r="F15" i="38"/>
  <c r="G15" i="38" s="1"/>
  <c r="E15" i="38"/>
  <c r="C15" i="38"/>
  <c r="AE14" i="38"/>
  <c r="AC14" i="38"/>
  <c r="AA14" i="38"/>
  <c r="Y14" i="38"/>
  <c r="W14" i="38"/>
  <c r="U14" i="38"/>
  <c r="R14" i="38"/>
  <c r="S14" i="38" s="1"/>
  <c r="Q14" i="38"/>
  <c r="O14" i="38"/>
  <c r="M14" i="38"/>
  <c r="K14" i="38"/>
  <c r="H14" i="38"/>
  <c r="I14" i="38" s="1"/>
  <c r="F14" i="38"/>
  <c r="G14" i="38" s="1"/>
  <c r="E14" i="38"/>
  <c r="C14" i="38"/>
  <c r="AE13" i="38"/>
  <c r="AC13" i="38"/>
  <c r="AA13" i="38"/>
  <c r="Y13" i="38"/>
  <c r="W13" i="38"/>
  <c r="U13" i="38"/>
  <c r="R13" i="38"/>
  <c r="S13" i="38" s="1"/>
  <c r="Q13" i="38"/>
  <c r="O13" i="38"/>
  <c r="M13" i="38"/>
  <c r="K13" i="38"/>
  <c r="H13" i="38"/>
  <c r="I13" i="38" s="1"/>
  <c r="F13" i="38"/>
  <c r="G13" i="38" s="1"/>
  <c r="E13" i="38"/>
  <c r="C13" i="38"/>
  <c r="AE12" i="38"/>
  <c r="AC12" i="38"/>
  <c r="AA12" i="38"/>
  <c r="Y12" i="38"/>
  <c r="W12" i="38"/>
  <c r="U12" i="38"/>
  <c r="R12" i="38"/>
  <c r="S12" i="38" s="1"/>
  <c r="Q12" i="38"/>
  <c r="O12" i="38"/>
  <c r="M12" i="38"/>
  <c r="K12" i="38"/>
  <c r="H12" i="38"/>
  <c r="I12" i="38" s="1"/>
  <c r="F12" i="38"/>
  <c r="G12" i="38" s="1"/>
  <c r="E12" i="38"/>
  <c r="C12" i="38"/>
  <c r="AE11" i="38"/>
  <c r="AC11" i="38"/>
  <c r="AA11" i="38"/>
  <c r="Y11" i="38"/>
  <c r="W11" i="38"/>
  <c r="U11" i="38"/>
  <c r="R11" i="38"/>
  <c r="S11" i="38" s="1"/>
  <c r="Q11" i="38"/>
  <c r="O11" i="38"/>
  <c r="M11" i="38"/>
  <c r="K11" i="38"/>
  <c r="H11" i="38"/>
  <c r="I11" i="38" s="1"/>
  <c r="F11" i="38"/>
  <c r="G11" i="38" s="1"/>
  <c r="E11" i="38"/>
  <c r="C11" i="38"/>
  <c r="AE19" i="37"/>
  <c r="AC19" i="37"/>
  <c r="AA19" i="37"/>
  <c r="Y19" i="37"/>
  <c r="W19" i="37"/>
  <c r="U19" i="37"/>
  <c r="R19" i="37"/>
  <c r="S19" i="37" s="1"/>
  <c r="Q19" i="37"/>
  <c r="O19" i="37"/>
  <c r="M19" i="37"/>
  <c r="K19" i="37"/>
  <c r="H19" i="37"/>
  <c r="F19" i="37"/>
  <c r="AE18" i="37"/>
  <c r="AC18" i="37"/>
  <c r="AA18" i="37"/>
  <c r="Y18" i="37"/>
  <c r="W18" i="37"/>
  <c r="U18" i="37"/>
  <c r="R18" i="37"/>
  <c r="Q18" i="37"/>
  <c r="O18" i="37"/>
  <c r="M18" i="37"/>
  <c r="K18" i="37"/>
  <c r="H18" i="37"/>
  <c r="F18" i="37"/>
  <c r="AE17" i="37"/>
  <c r="AC17" i="37"/>
  <c r="AA17" i="37"/>
  <c r="Y17" i="37"/>
  <c r="W17" i="37"/>
  <c r="U17" i="37"/>
  <c r="R17" i="37"/>
  <c r="Q17" i="37"/>
  <c r="O17" i="37"/>
  <c r="M17" i="37"/>
  <c r="K17" i="37"/>
  <c r="H17" i="37"/>
  <c r="F17" i="37"/>
  <c r="G17" i="37" s="1"/>
  <c r="C17" i="37"/>
  <c r="AE16" i="37"/>
  <c r="AC16" i="37"/>
  <c r="AA16" i="37"/>
  <c r="Y16" i="37"/>
  <c r="W16" i="37"/>
  <c r="U16" i="37"/>
  <c r="S16" i="37"/>
  <c r="R16" i="37"/>
  <c r="Q16" i="37"/>
  <c r="O16" i="37"/>
  <c r="M16" i="37"/>
  <c r="K16" i="37"/>
  <c r="H16" i="37"/>
  <c r="I16" i="37" s="1"/>
  <c r="F16" i="37"/>
  <c r="E16" i="37"/>
  <c r="C16" i="37"/>
  <c r="AE15" i="37"/>
  <c r="AC15" i="37"/>
  <c r="AA15" i="37"/>
  <c r="Y15" i="37"/>
  <c r="W15" i="37"/>
  <c r="U15" i="37"/>
  <c r="R15" i="37"/>
  <c r="S15" i="37" s="1"/>
  <c r="Q15" i="37"/>
  <c r="O15" i="37"/>
  <c r="M15" i="37"/>
  <c r="K15" i="37"/>
  <c r="I15" i="37"/>
  <c r="H15" i="37"/>
  <c r="F15" i="37"/>
  <c r="G15" i="37" s="1"/>
  <c r="E15" i="37"/>
  <c r="C15" i="37"/>
  <c r="AE14" i="37"/>
  <c r="AC14" i="37"/>
  <c r="AA14" i="37"/>
  <c r="Y14" i="37"/>
  <c r="W14" i="37"/>
  <c r="U14" i="37"/>
  <c r="R14" i="37"/>
  <c r="Q14" i="37"/>
  <c r="O14" i="37"/>
  <c r="M14" i="37"/>
  <c r="K14" i="37"/>
  <c r="H14" i="37"/>
  <c r="I14" i="37" s="1"/>
  <c r="F14" i="37"/>
  <c r="G14" i="37" s="1"/>
  <c r="E14" i="37"/>
  <c r="C14" i="37"/>
  <c r="AE13" i="37"/>
  <c r="AC13" i="37"/>
  <c r="AA13" i="37"/>
  <c r="Y13" i="37"/>
  <c r="W13" i="37"/>
  <c r="U13" i="37"/>
  <c r="R13" i="37"/>
  <c r="Q13" i="37"/>
  <c r="O13" i="37"/>
  <c r="M13" i="37"/>
  <c r="K13" i="37"/>
  <c r="H13" i="37"/>
  <c r="F13" i="37"/>
  <c r="G13" i="37" s="1"/>
  <c r="E13" i="37"/>
  <c r="C13" i="37"/>
  <c r="AE12" i="37"/>
  <c r="AC12" i="37"/>
  <c r="AA12" i="37"/>
  <c r="Y12" i="37"/>
  <c r="W12" i="37"/>
  <c r="U12" i="37"/>
  <c r="R12" i="37"/>
  <c r="S12" i="37" s="1"/>
  <c r="Q12" i="37"/>
  <c r="O12" i="37"/>
  <c r="M12" i="37"/>
  <c r="K12" i="37"/>
  <c r="H12" i="37"/>
  <c r="F12" i="37"/>
  <c r="E12" i="37"/>
  <c r="C12" i="37"/>
  <c r="AE11" i="37"/>
  <c r="AC11" i="37"/>
  <c r="AA11" i="37"/>
  <c r="Y11" i="37"/>
  <c r="W11" i="37"/>
  <c r="U11" i="37"/>
  <c r="R11" i="37"/>
  <c r="S11" i="37" s="1"/>
  <c r="Q11" i="37"/>
  <c r="O11" i="37"/>
  <c r="M11" i="37"/>
  <c r="K11" i="37"/>
  <c r="H11" i="37"/>
  <c r="I11" i="37" s="1"/>
  <c r="F11" i="37"/>
  <c r="E11" i="37"/>
  <c r="C11" i="37"/>
  <c r="AE19" i="35"/>
  <c r="AC19" i="35"/>
  <c r="AA19" i="35"/>
  <c r="Y19" i="35"/>
  <c r="W19" i="35"/>
  <c r="U19" i="35"/>
  <c r="R19" i="35"/>
  <c r="S19" i="35" s="1"/>
  <c r="O19" i="35"/>
  <c r="M19" i="35"/>
  <c r="K19" i="35"/>
  <c r="H19" i="35"/>
  <c r="F19" i="35"/>
  <c r="AE18" i="35"/>
  <c r="AC18" i="35"/>
  <c r="AA18" i="35"/>
  <c r="Y18" i="35"/>
  <c r="W18" i="35"/>
  <c r="U18" i="35"/>
  <c r="R18" i="35"/>
  <c r="S18" i="35" s="1"/>
  <c r="O18" i="35"/>
  <c r="M18" i="35"/>
  <c r="K18" i="35"/>
  <c r="H18" i="35"/>
  <c r="I18" i="35" s="1"/>
  <c r="F18" i="35"/>
  <c r="G18" i="35" s="1"/>
  <c r="AE17" i="35"/>
  <c r="AC17" i="35"/>
  <c r="AA17" i="35"/>
  <c r="Y17" i="35"/>
  <c r="W17" i="35"/>
  <c r="U17" i="35"/>
  <c r="R17" i="35"/>
  <c r="S17" i="35" s="1"/>
  <c r="O17" i="35"/>
  <c r="M17" i="35"/>
  <c r="K17" i="35"/>
  <c r="H17" i="35"/>
  <c r="I17" i="35" s="1"/>
  <c r="G17" i="35"/>
  <c r="F17" i="35"/>
  <c r="E17" i="35"/>
  <c r="C17" i="35"/>
  <c r="AE16" i="35"/>
  <c r="AC16" i="35"/>
  <c r="AA16" i="35"/>
  <c r="Y16" i="35"/>
  <c r="W16" i="35"/>
  <c r="U16" i="35"/>
  <c r="R16" i="35"/>
  <c r="S16" i="35" s="1"/>
  <c r="O16" i="35"/>
  <c r="M16" i="35"/>
  <c r="K16" i="35"/>
  <c r="H16" i="35"/>
  <c r="I16" i="35" s="1"/>
  <c r="F16" i="35"/>
  <c r="G16" i="35" s="1"/>
  <c r="E16" i="35"/>
  <c r="C16" i="35"/>
  <c r="AE15" i="35"/>
  <c r="AC15" i="35"/>
  <c r="Y15" i="35"/>
  <c r="W15" i="35"/>
  <c r="U15" i="35"/>
  <c r="R15" i="35"/>
  <c r="S15" i="35" s="1"/>
  <c r="O15" i="35"/>
  <c r="M15" i="35"/>
  <c r="K15" i="35"/>
  <c r="H15" i="35"/>
  <c r="I15" i="35" s="1"/>
  <c r="F15" i="35"/>
  <c r="G15" i="35" s="1"/>
  <c r="E15" i="35"/>
  <c r="C15" i="35"/>
  <c r="AE14" i="35"/>
  <c r="AC14" i="35"/>
  <c r="Y14" i="35"/>
  <c r="W14" i="35"/>
  <c r="U14" i="35"/>
  <c r="R14" i="35"/>
  <c r="S14" i="35" s="1"/>
  <c r="O14" i="35"/>
  <c r="M14" i="35"/>
  <c r="H14" i="35"/>
  <c r="I14" i="35" s="1"/>
  <c r="F14" i="35"/>
  <c r="G14" i="35" s="1"/>
  <c r="E14" i="35"/>
  <c r="C14" i="35"/>
  <c r="AE13" i="35"/>
  <c r="AC13" i="35"/>
  <c r="AA13" i="35"/>
  <c r="Y13" i="35"/>
  <c r="W13" i="35"/>
  <c r="U13" i="35"/>
  <c r="R13" i="35"/>
  <c r="S13" i="35" s="1"/>
  <c r="O13" i="35"/>
  <c r="M13" i="35"/>
  <c r="K13" i="35"/>
  <c r="H13" i="35"/>
  <c r="F13" i="35"/>
  <c r="E13" i="35"/>
  <c r="C13" i="35"/>
  <c r="AE12" i="35"/>
  <c r="AC12" i="35"/>
  <c r="AA12" i="35"/>
  <c r="Y12" i="35"/>
  <c r="W12" i="35"/>
  <c r="U12" i="35"/>
  <c r="R12" i="35"/>
  <c r="O12" i="35"/>
  <c r="M12" i="35"/>
  <c r="K12" i="35"/>
  <c r="H12" i="35"/>
  <c r="F12" i="35"/>
  <c r="E12" i="35"/>
  <c r="C12" i="35"/>
  <c r="AE11" i="35"/>
  <c r="AC11" i="35"/>
  <c r="AA11" i="35"/>
  <c r="Y11" i="35"/>
  <c r="W11" i="35"/>
  <c r="U11" i="35"/>
  <c r="R11" i="35"/>
  <c r="S11" i="35" s="1"/>
  <c r="Q11" i="35"/>
  <c r="O11" i="35"/>
  <c r="M11" i="35"/>
  <c r="K11" i="35"/>
  <c r="H11" i="35"/>
  <c r="F11" i="35"/>
  <c r="E11" i="35"/>
  <c r="C11" i="35"/>
  <c r="AE19" i="34"/>
  <c r="AC19" i="34"/>
  <c r="AA19" i="34"/>
  <c r="Y19" i="34"/>
  <c r="W19" i="34"/>
  <c r="U19" i="34"/>
  <c r="R19" i="34"/>
  <c r="S19" i="34" s="1"/>
  <c r="Q19" i="34"/>
  <c r="O19" i="34"/>
  <c r="M19" i="34"/>
  <c r="K19" i="34"/>
  <c r="H19" i="34"/>
  <c r="I19" i="34" s="1"/>
  <c r="F19" i="34"/>
  <c r="AE18" i="34"/>
  <c r="AC18" i="34"/>
  <c r="AA18" i="34"/>
  <c r="Y18" i="34"/>
  <c r="W18" i="34"/>
  <c r="U18" i="34"/>
  <c r="R18" i="34"/>
  <c r="S18" i="34" s="1"/>
  <c r="Q18" i="34"/>
  <c r="O18" i="34"/>
  <c r="M18" i="34"/>
  <c r="K18" i="34"/>
  <c r="H18" i="34"/>
  <c r="F18" i="34"/>
  <c r="AE17" i="34"/>
  <c r="AC17" i="34"/>
  <c r="AA17" i="34"/>
  <c r="Y17" i="34"/>
  <c r="W17" i="34"/>
  <c r="U17" i="34"/>
  <c r="R17" i="34"/>
  <c r="Q17" i="34"/>
  <c r="O17" i="34"/>
  <c r="M17" i="34"/>
  <c r="K17" i="34"/>
  <c r="H17" i="34"/>
  <c r="F17" i="34"/>
  <c r="G17" i="34" s="1"/>
  <c r="E17" i="34"/>
  <c r="C17" i="34"/>
  <c r="AE16" i="34"/>
  <c r="AC16" i="34"/>
  <c r="AA16" i="34"/>
  <c r="Y16" i="34"/>
  <c r="W16" i="34"/>
  <c r="U16" i="34"/>
  <c r="R16" i="34"/>
  <c r="S16" i="34" s="1"/>
  <c r="Q16" i="34"/>
  <c r="O16" i="34"/>
  <c r="M16" i="34"/>
  <c r="K16" i="34"/>
  <c r="H16" i="34"/>
  <c r="F16" i="34"/>
  <c r="E16" i="34"/>
  <c r="C16" i="34"/>
  <c r="AE15" i="34"/>
  <c r="AC15" i="34"/>
  <c r="AA15" i="34"/>
  <c r="Y15" i="34"/>
  <c r="W15" i="34"/>
  <c r="U15" i="34"/>
  <c r="R15" i="34"/>
  <c r="S15" i="34" s="1"/>
  <c r="Q15" i="34"/>
  <c r="O15" i="34"/>
  <c r="M15" i="34"/>
  <c r="K15" i="34"/>
  <c r="H15" i="34"/>
  <c r="I15" i="34" s="1"/>
  <c r="F15" i="34"/>
  <c r="E15" i="34"/>
  <c r="C15" i="34"/>
  <c r="AE14" i="34"/>
  <c r="AC14" i="34"/>
  <c r="AA14" i="34"/>
  <c r="Y14" i="34"/>
  <c r="W14" i="34"/>
  <c r="U14" i="34"/>
  <c r="R14" i="34"/>
  <c r="Q14" i="34"/>
  <c r="O14" i="34"/>
  <c r="M14" i="34"/>
  <c r="K14" i="34"/>
  <c r="H14" i="34"/>
  <c r="I14" i="34" s="1"/>
  <c r="F14" i="34"/>
  <c r="G14" i="34" s="1"/>
  <c r="E14" i="34"/>
  <c r="C14" i="34"/>
  <c r="AE13" i="34"/>
  <c r="AC13" i="34"/>
  <c r="AA13" i="34"/>
  <c r="Y13" i="34"/>
  <c r="W13" i="34"/>
  <c r="U13" i="34"/>
  <c r="R13" i="34"/>
  <c r="Q13" i="34"/>
  <c r="O13" i="34"/>
  <c r="M13" i="34"/>
  <c r="K13" i="34"/>
  <c r="H13" i="34"/>
  <c r="F13" i="34"/>
  <c r="G13" i="34" s="1"/>
  <c r="E13" i="34"/>
  <c r="C13" i="34"/>
  <c r="AE12" i="34"/>
  <c r="AC12" i="34"/>
  <c r="AA12" i="34"/>
  <c r="Y12" i="34"/>
  <c r="W12" i="34"/>
  <c r="U12" i="34"/>
  <c r="R12" i="34"/>
  <c r="S12" i="34" s="1"/>
  <c r="Q12" i="34"/>
  <c r="O12" i="34"/>
  <c r="M12" i="34"/>
  <c r="K12" i="34"/>
  <c r="H12" i="34"/>
  <c r="F12" i="34"/>
  <c r="E12" i="34"/>
  <c r="C12" i="34"/>
  <c r="AE11" i="34"/>
  <c r="AC11" i="34"/>
  <c r="AA11" i="34"/>
  <c r="Y11" i="34"/>
  <c r="W11" i="34"/>
  <c r="U11" i="34"/>
  <c r="R11" i="34"/>
  <c r="S11" i="34" s="1"/>
  <c r="Q11" i="34"/>
  <c r="O11" i="34"/>
  <c r="M11" i="34"/>
  <c r="K11" i="34"/>
  <c r="H11" i="34"/>
  <c r="I11" i="34" s="1"/>
  <c r="F11" i="34"/>
  <c r="E11" i="34"/>
  <c r="C11" i="34"/>
  <c r="AE19" i="33"/>
  <c r="AC19" i="33"/>
  <c r="AA19" i="33"/>
  <c r="Y19" i="33"/>
  <c r="W19" i="33"/>
  <c r="U19" i="33"/>
  <c r="R19" i="33"/>
  <c r="S19" i="33" s="1"/>
  <c r="Q19" i="33"/>
  <c r="O19" i="33"/>
  <c r="M19" i="33"/>
  <c r="K19" i="33"/>
  <c r="H19" i="33"/>
  <c r="I19" i="33" s="1"/>
  <c r="F19" i="33"/>
  <c r="G19" i="33" s="1"/>
  <c r="AE18" i="33"/>
  <c r="AC18" i="33"/>
  <c r="AA18" i="33"/>
  <c r="Y18" i="33"/>
  <c r="W18" i="33"/>
  <c r="U18" i="33"/>
  <c r="R18" i="33"/>
  <c r="S18" i="33" s="1"/>
  <c r="Q18" i="33"/>
  <c r="O18" i="33"/>
  <c r="M18" i="33"/>
  <c r="K18" i="33"/>
  <c r="H18" i="33"/>
  <c r="I18" i="33" s="1"/>
  <c r="F18" i="33"/>
  <c r="AE17" i="33"/>
  <c r="AC17" i="33"/>
  <c r="AA17" i="33"/>
  <c r="Y17" i="33"/>
  <c r="W17" i="33"/>
  <c r="U17" i="33"/>
  <c r="R17" i="33"/>
  <c r="S17" i="33" s="1"/>
  <c r="Q17" i="33"/>
  <c r="O17" i="33"/>
  <c r="M17" i="33"/>
  <c r="K17" i="33"/>
  <c r="H17" i="33"/>
  <c r="F17" i="33"/>
  <c r="G17" i="33" s="1"/>
  <c r="E17" i="33"/>
  <c r="C17" i="33"/>
  <c r="AE16" i="33"/>
  <c r="AC16" i="33"/>
  <c r="AA16" i="33"/>
  <c r="Y16" i="33"/>
  <c r="W16" i="33"/>
  <c r="U16" i="33"/>
  <c r="R16" i="33"/>
  <c r="S16" i="33" s="1"/>
  <c r="Q16" i="33"/>
  <c r="O16" i="33"/>
  <c r="M16" i="33"/>
  <c r="K16" i="33"/>
  <c r="H16" i="33"/>
  <c r="I16" i="33" s="1"/>
  <c r="F16" i="33"/>
  <c r="E16" i="33"/>
  <c r="C16" i="33"/>
  <c r="AE15" i="33"/>
  <c r="AC15" i="33"/>
  <c r="AA15" i="33"/>
  <c r="Y15" i="33"/>
  <c r="W15" i="33"/>
  <c r="U15" i="33"/>
  <c r="R15" i="33"/>
  <c r="S15" i="33" s="1"/>
  <c r="Q15" i="33"/>
  <c r="O15" i="33"/>
  <c r="M15" i="33"/>
  <c r="K15" i="33"/>
  <c r="H15" i="33"/>
  <c r="I15" i="33" s="1"/>
  <c r="F15" i="33"/>
  <c r="G15" i="33" s="1"/>
  <c r="E15" i="33"/>
  <c r="C15" i="33"/>
  <c r="AE14" i="33"/>
  <c r="AC14" i="33"/>
  <c r="AA14" i="33"/>
  <c r="Y14" i="33"/>
  <c r="W14" i="33"/>
  <c r="U14" i="33"/>
  <c r="R14" i="33"/>
  <c r="Q14" i="33"/>
  <c r="O14" i="33"/>
  <c r="M14" i="33"/>
  <c r="K14" i="33"/>
  <c r="H14" i="33"/>
  <c r="I14" i="33" s="1"/>
  <c r="F14" i="33"/>
  <c r="G14" i="33" s="1"/>
  <c r="E14" i="33"/>
  <c r="C14" i="33"/>
  <c r="AE13" i="33"/>
  <c r="AC13" i="33"/>
  <c r="AA13" i="33"/>
  <c r="Y13" i="33"/>
  <c r="W13" i="33"/>
  <c r="U13" i="33"/>
  <c r="R13" i="33"/>
  <c r="S13" i="33" s="1"/>
  <c r="Q13" i="33"/>
  <c r="O13" i="33"/>
  <c r="M13" i="33"/>
  <c r="K13" i="33"/>
  <c r="H13" i="33"/>
  <c r="F13" i="33"/>
  <c r="G13" i="33" s="1"/>
  <c r="E13" i="33"/>
  <c r="C13" i="33"/>
  <c r="AE12" i="33"/>
  <c r="AC12" i="33"/>
  <c r="AA12" i="33"/>
  <c r="Y12" i="33"/>
  <c r="W12" i="33"/>
  <c r="U12" i="33"/>
  <c r="R12" i="33"/>
  <c r="S12" i="33" s="1"/>
  <c r="Q12" i="33"/>
  <c r="O12" i="33"/>
  <c r="M12" i="33"/>
  <c r="K12" i="33"/>
  <c r="H12" i="33"/>
  <c r="I12" i="33" s="1"/>
  <c r="F12" i="33"/>
  <c r="E12" i="33"/>
  <c r="C12" i="33"/>
  <c r="AE11" i="33"/>
  <c r="AC11" i="33"/>
  <c r="AA11" i="33"/>
  <c r="Y11" i="33"/>
  <c r="W11" i="33"/>
  <c r="U11" i="33"/>
  <c r="R11" i="33"/>
  <c r="S11" i="33" s="1"/>
  <c r="Q11" i="33"/>
  <c r="O11" i="33"/>
  <c r="M11" i="33"/>
  <c r="K11" i="33"/>
  <c r="H11" i="33"/>
  <c r="I11" i="33" s="1"/>
  <c r="F11" i="33"/>
  <c r="G11" i="33" s="1"/>
  <c r="E11" i="33"/>
  <c r="C11" i="33"/>
  <c r="E17" i="32"/>
  <c r="C17" i="32"/>
  <c r="AE16" i="32"/>
  <c r="AC16" i="32"/>
  <c r="AA16" i="32"/>
  <c r="Y16" i="32"/>
  <c r="W16" i="32"/>
  <c r="U16" i="32"/>
  <c r="R16" i="32"/>
  <c r="S16" i="32" s="1"/>
  <c r="Q16" i="32"/>
  <c r="O16" i="32"/>
  <c r="M16" i="32"/>
  <c r="K16" i="32"/>
  <c r="H16" i="32"/>
  <c r="I16" i="32" s="1"/>
  <c r="F16" i="32"/>
  <c r="E16" i="32"/>
  <c r="C16" i="32"/>
  <c r="AE15" i="32"/>
  <c r="AC15" i="32"/>
  <c r="AA15" i="32"/>
  <c r="Y15" i="32"/>
  <c r="W15" i="32"/>
  <c r="U15" i="32"/>
  <c r="R15" i="32"/>
  <c r="S15" i="32" s="1"/>
  <c r="Q15" i="32"/>
  <c r="O15" i="32"/>
  <c r="M15" i="32"/>
  <c r="K15" i="32"/>
  <c r="H15" i="32"/>
  <c r="I15" i="32" s="1"/>
  <c r="F15" i="32"/>
  <c r="G15" i="32" s="1"/>
  <c r="E15" i="32"/>
  <c r="C15" i="32"/>
  <c r="AE14" i="32"/>
  <c r="AC14" i="32"/>
  <c r="AA14" i="32"/>
  <c r="Y14" i="32"/>
  <c r="W14" i="32"/>
  <c r="U14" i="32"/>
  <c r="P14" i="32"/>
  <c r="Q14" i="32" s="1"/>
  <c r="O14" i="32"/>
  <c r="M14" i="32"/>
  <c r="L14" i="32"/>
  <c r="J14" i="32"/>
  <c r="H14" i="32" s="1"/>
  <c r="I14" i="32" s="1"/>
  <c r="AD13" i="32"/>
  <c r="AE13" i="32" s="1"/>
  <c r="AC13" i="32"/>
  <c r="AB13" i="32"/>
  <c r="Z13" i="32"/>
  <c r="AA13" i="32" s="1"/>
  <c r="Y13" i="32"/>
  <c r="X13" i="32"/>
  <c r="V13" i="32"/>
  <c r="W13" i="32" s="1"/>
  <c r="U13" i="32"/>
  <c r="T13" i="32"/>
  <c r="R13" i="32"/>
  <c r="S13" i="32" s="1"/>
  <c r="Q13" i="32"/>
  <c r="P13" i="32"/>
  <c r="N13" i="32"/>
  <c r="O13" i="32" s="1"/>
  <c r="M13" i="32"/>
  <c r="L13" i="32"/>
  <c r="J13" i="32"/>
  <c r="H13" i="32" s="1"/>
  <c r="I13" i="32" s="1"/>
  <c r="F13" i="32"/>
  <c r="G13" i="32" s="1"/>
  <c r="AE12" i="32"/>
  <c r="AD12" i="32"/>
  <c r="AB12" i="32"/>
  <c r="AC12" i="32" s="1"/>
  <c r="AA12" i="32"/>
  <c r="Z12" i="32"/>
  <c r="X12" i="32"/>
  <c r="Y12" i="32" s="1"/>
  <c r="W12" i="32"/>
  <c r="V12" i="32"/>
  <c r="T12" i="32"/>
  <c r="R12" i="32" s="1"/>
  <c r="S12" i="32" s="1"/>
  <c r="P12" i="32"/>
  <c r="Q12" i="32" s="1"/>
  <c r="O12" i="32"/>
  <c r="N12" i="32"/>
  <c r="L12" i="32"/>
  <c r="F12" i="32" s="1"/>
  <c r="G12" i="32" s="1"/>
  <c r="K12" i="32"/>
  <c r="J12" i="32"/>
  <c r="H12" i="32"/>
  <c r="I12" i="32" s="1"/>
  <c r="AD11" i="32"/>
  <c r="AE11" i="32" s="1"/>
  <c r="AC11" i="32"/>
  <c r="AB11" i="32"/>
  <c r="Z11" i="32"/>
  <c r="AA11" i="32" s="1"/>
  <c r="Y11" i="32"/>
  <c r="X11" i="32"/>
  <c r="V11" i="32"/>
  <c r="W11" i="32" s="1"/>
  <c r="U11" i="32"/>
  <c r="T11" i="32"/>
  <c r="R11" i="32"/>
  <c r="S11" i="32" s="1"/>
  <c r="Q11" i="32"/>
  <c r="P11" i="32"/>
  <c r="N11" i="32"/>
  <c r="O11" i="32" s="1"/>
  <c r="M11" i="32"/>
  <c r="L11" i="32"/>
  <c r="J11" i="32"/>
  <c r="H11" i="32" s="1"/>
  <c r="I11" i="32" s="1"/>
  <c r="F11" i="32"/>
  <c r="G11" i="32" s="1"/>
  <c r="E17" i="31"/>
  <c r="C17" i="31"/>
  <c r="AE16" i="31"/>
  <c r="AC16" i="31"/>
  <c r="AA16" i="31"/>
  <c r="Y16" i="31"/>
  <c r="W16" i="31"/>
  <c r="U16" i="31"/>
  <c r="R16" i="31"/>
  <c r="S16" i="31" s="1"/>
  <c r="Q16" i="31"/>
  <c r="O16" i="31"/>
  <c r="M16" i="31"/>
  <c r="K16" i="31"/>
  <c r="H16" i="31"/>
  <c r="F16" i="31"/>
  <c r="E16" i="31"/>
  <c r="C16" i="31"/>
  <c r="AE15" i="31"/>
  <c r="AC15" i="31"/>
  <c r="AA15" i="31"/>
  <c r="Y15" i="31"/>
  <c r="W15" i="31"/>
  <c r="U15" i="31"/>
  <c r="R15" i="31"/>
  <c r="S15" i="31" s="1"/>
  <c r="Q15" i="31"/>
  <c r="O15" i="31"/>
  <c r="M15" i="31"/>
  <c r="K15" i="31"/>
  <c r="H15" i="31"/>
  <c r="I15" i="31" s="1"/>
  <c r="F15" i="31"/>
  <c r="E15" i="31"/>
  <c r="C15" i="31"/>
  <c r="AE14" i="31"/>
  <c r="AC14" i="31"/>
  <c r="AA14" i="31"/>
  <c r="Y14" i="31"/>
  <c r="W14" i="31"/>
  <c r="U14" i="31"/>
  <c r="R14" i="31"/>
  <c r="Q14" i="31"/>
  <c r="O14" i="31"/>
  <c r="M14" i="31"/>
  <c r="K14" i="31"/>
  <c r="H14" i="31"/>
  <c r="I14" i="31" s="1"/>
  <c r="F14" i="31"/>
  <c r="G14" i="31" s="1"/>
  <c r="AE13" i="31"/>
  <c r="AC13" i="31"/>
  <c r="AA13" i="31"/>
  <c r="Y13" i="31"/>
  <c r="W13" i="31"/>
  <c r="U13" i="31"/>
  <c r="R13" i="31"/>
  <c r="Q13" i="31"/>
  <c r="O13" i="31"/>
  <c r="M13" i="31"/>
  <c r="K13" i="31"/>
  <c r="H13" i="31"/>
  <c r="F13" i="31"/>
  <c r="AE12" i="31"/>
  <c r="AC12" i="31"/>
  <c r="AA12" i="31"/>
  <c r="Y12" i="31"/>
  <c r="W12" i="31"/>
  <c r="U12" i="31"/>
  <c r="R12" i="31"/>
  <c r="S12" i="31" s="1"/>
  <c r="Q12" i="31"/>
  <c r="O12" i="31"/>
  <c r="M12" i="31"/>
  <c r="K12" i="31"/>
  <c r="H12" i="31"/>
  <c r="F12" i="31"/>
  <c r="AE11" i="31"/>
  <c r="AC11" i="31"/>
  <c r="AA11" i="31"/>
  <c r="Y11" i="31"/>
  <c r="W11" i="31"/>
  <c r="U11" i="31"/>
  <c r="R11" i="31"/>
  <c r="Q11" i="31"/>
  <c r="O11" i="31"/>
  <c r="M11" i="31"/>
  <c r="K11" i="31"/>
  <c r="H11" i="31"/>
  <c r="F11" i="31"/>
  <c r="AD20" i="30"/>
  <c r="AB20" i="30"/>
  <c r="Z20" i="30"/>
  <c r="X20" i="30"/>
  <c r="V20" i="30"/>
  <c r="T20" i="30"/>
  <c r="P20" i="30"/>
  <c r="Q20" i="35" s="1"/>
  <c r="N20" i="30"/>
  <c r="L20" i="30"/>
  <c r="J20" i="30"/>
  <c r="H19" i="30"/>
  <c r="I19" i="30" s="1"/>
  <c r="F19" i="30"/>
  <c r="G19" i="30" s="1"/>
  <c r="AE18" i="30"/>
  <c r="AC18" i="30"/>
  <c r="AA18" i="30"/>
  <c r="Y18" i="30"/>
  <c r="W18" i="30"/>
  <c r="U18" i="30"/>
  <c r="R18" i="30"/>
  <c r="S18" i="30" s="1"/>
  <c r="Q18" i="30"/>
  <c r="O18" i="30"/>
  <c r="M18" i="30"/>
  <c r="K18" i="30"/>
  <c r="H18" i="30"/>
  <c r="I18" i="30" s="1"/>
  <c r="F18" i="30"/>
  <c r="G18" i="30" s="1"/>
  <c r="AE17" i="30"/>
  <c r="AC17" i="30"/>
  <c r="AA17" i="30"/>
  <c r="Y17" i="30"/>
  <c r="W17" i="30"/>
  <c r="U17" i="30"/>
  <c r="R17" i="30"/>
  <c r="S17" i="30" s="1"/>
  <c r="Q17" i="30"/>
  <c r="O17" i="30"/>
  <c r="M17" i="30"/>
  <c r="K17" i="30"/>
  <c r="H17" i="30"/>
  <c r="I17" i="30" s="1"/>
  <c r="F17" i="30"/>
  <c r="G17" i="30" s="1"/>
  <c r="E17" i="30"/>
  <c r="C17" i="30"/>
  <c r="AE16" i="30"/>
  <c r="AC16" i="30"/>
  <c r="AA16" i="30"/>
  <c r="Y16" i="30"/>
  <c r="W16" i="30"/>
  <c r="U16" i="30"/>
  <c r="R16" i="30"/>
  <c r="S16" i="30" s="1"/>
  <c r="Q16" i="30"/>
  <c r="O16" i="30"/>
  <c r="M16" i="30"/>
  <c r="K16" i="30"/>
  <c r="H16" i="30"/>
  <c r="I16" i="30" s="1"/>
  <c r="F16" i="30"/>
  <c r="G16" i="30" s="1"/>
  <c r="E16" i="30"/>
  <c r="C16" i="30"/>
  <c r="AE15" i="30"/>
  <c r="AC15" i="30"/>
  <c r="AA15" i="30"/>
  <c r="Y15" i="30"/>
  <c r="W15" i="30"/>
  <c r="U15" i="30"/>
  <c r="R15" i="30"/>
  <c r="S15" i="30" s="1"/>
  <c r="Q15" i="30"/>
  <c r="O15" i="30"/>
  <c r="M15" i="30"/>
  <c r="K15" i="30"/>
  <c r="H15" i="30"/>
  <c r="I15" i="30" s="1"/>
  <c r="F15" i="30"/>
  <c r="G15" i="30" s="1"/>
  <c r="E15" i="30"/>
  <c r="C15" i="30"/>
  <c r="AE14" i="30"/>
  <c r="AC14" i="30"/>
  <c r="AA14" i="30"/>
  <c r="Y14" i="30"/>
  <c r="W14" i="30"/>
  <c r="U14" i="30"/>
  <c r="R14" i="30"/>
  <c r="S14" i="30" s="1"/>
  <c r="Q14" i="30"/>
  <c r="O14" i="30"/>
  <c r="M14" i="30"/>
  <c r="K14" i="30"/>
  <c r="H14" i="30"/>
  <c r="I14" i="30" s="1"/>
  <c r="F14" i="30"/>
  <c r="G14" i="30" s="1"/>
  <c r="E14" i="30"/>
  <c r="C14" i="30"/>
  <c r="AE13" i="30"/>
  <c r="AC13" i="30"/>
  <c r="AA13" i="30"/>
  <c r="Y13" i="30"/>
  <c r="W13" i="30"/>
  <c r="U13" i="30"/>
  <c r="R13" i="30"/>
  <c r="S13" i="30" s="1"/>
  <c r="Q13" i="30"/>
  <c r="O13" i="30"/>
  <c r="M13" i="30"/>
  <c r="K13" i="30"/>
  <c r="H13" i="30"/>
  <c r="I13" i="30" s="1"/>
  <c r="F13" i="30"/>
  <c r="G13" i="30" s="1"/>
  <c r="E13" i="30"/>
  <c r="C13" i="30"/>
  <c r="AE12" i="30"/>
  <c r="AC12" i="30"/>
  <c r="AA12" i="30"/>
  <c r="Y12" i="30"/>
  <c r="W12" i="30"/>
  <c r="U12" i="30"/>
  <c r="R12" i="30"/>
  <c r="S12" i="30" s="1"/>
  <c r="Q12" i="30"/>
  <c r="O12" i="30"/>
  <c r="M12" i="30"/>
  <c r="K12" i="30"/>
  <c r="H12" i="30"/>
  <c r="I12" i="30" s="1"/>
  <c r="F12" i="30"/>
  <c r="G12" i="30" s="1"/>
  <c r="E12" i="30"/>
  <c r="C12" i="30"/>
  <c r="AE11" i="30"/>
  <c r="AC11" i="30"/>
  <c r="AA11" i="30"/>
  <c r="Y11" i="30"/>
  <c r="W11" i="30"/>
  <c r="U11" i="30"/>
  <c r="R11" i="30"/>
  <c r="S11" i="30" s="1"/>
  <c r="Q11" i="30"/>
  <c r="O11" i="30"/>
  <c r="M11" i="30"/>
  <c r="K11" i="30"/>
  <c r="H11" i="30"/>
  <c r="I11" i="30" s="1"/>
  <c r="F11" i="30"/>
  <c r="G11" i="30" s="1"/>
  <c r="E11" i="30"/>
  <c r="C11" i="30"/>
  <c r="I13" i="31" l="1"/>
  <c r="I13" i="35"/>
  <c r="S14" i="37"/>
  <c r="G16" i="37"/>
  <c r="G11" i="31"/>
  <c r="S13" i="31"/>
  <c r="G12" i="35"/>
  <c r="G19" i="35"/>
  <c r="I17" i="37"/>
  <c r="G18" i="37"/>
  <c r="I11" i="31"/>
  <c r="G12" i="31"/>
  <c r="S14" i="31"/>
  <c r="G16" i="31"/>
  <c r="K11" i="32"/>
  <c r="M12" i="32"/>
  <c r="U12" i="32"/>
  <c r="K13" i="32"/>
  <c r="K14" i="32"/>
  <c r="G12" i="34"/>
  <c r="I13" i="34"/>
  <c r="S14" i="34"/>
  <c r="G16" i="34"/>
  <c r="I17" i="34"/>
  <c r="G18" i="34"/>
  <c r="G11" i="35"/>
  <c r="I12" i="35"/>
  <c r="S12" i="35"/>
  <c r="I19" i="35"/>
  <c r="G12" i="37"/>
  <c r="I13" i="37"/>
  <c r="S17" i="37"/>
  <c r="I18" i="37"/>
  <c r="G19" i="37"/>
  <c r="S11" i="31"/>
  <c r="I12" i="31"/>
  <c r="G13" i="31"/>
  <c r="G15" i="31"/>
  <c r="I16" i="31"/>
  <c r="G16" i="32"/>
  <c r="G12" i="33"/>
  <c r="I13" i="33"/>
  <c r="S14" i="33"/>
  <c r="G16" i="33"/>
  <c r="I17" i="33"/>
  <c r="G18" i="33"/>
  <c r="G11" i="34"/>
  <c r="I12" i="34"/>
  <c r="S13" i="34"/>
  <c r="G15" i="34"/>
  <c r="I16" i="34"/>
  <c r="S17" i="34"/>
  <c r="I18" i="34"/>
  <c r="G19" i="34"/>
  <c r="I11" i="35"/>
  <c r="G13" i="35"/>
  <c r="G11" i="37"/>
  <c r="I12" i="37"/>
  <c r="S13" i="37"/>
  <c r="S18" i="37"/>
  <c r="I19" i="37"/>
  <c r="F14" i="32"/>
  <c r="G14" i="32" s="1"/>
  <c r="R14" i="32"/>
  <c r="S14" i="32" s="1"/>
  <c r="B19" i="15" l="1"/>
  <c r="B18" i="15"/>
  <c r="B17" i="15"/>
  <c r="B16" i="15"/>
  <c r="B15" i="15"/>
  <c r="B14" i="15"/>
  <c r="B12" i="15"/>
  <c r="B11" i="15"/>
  <c r="B10" i="15"/>
  <c r="B9" i="15"/>
  <c r="H19" i="14"/>
  <c r="H18" i="14"/>
  <c r="H17" i="14"/>
  <c r="H16" i="14"/>
  <c r="H15" i="14"/>
  <c r="H14" i="14"/>
  <c r="H13" i="14"/>
  <c r="H12" i="14"/>
  <c r="H11" i="14"/>
  <c r="H10" i="14"/>
  <c r="H9" i="14"/>
  <c r="H8" i="14"/>
  <c r="H7" i="14"/>
  <c r="G19" i="14"/>
  <c r="F19" i="14"/>
  <c r="E19" i="14"/>
  <c r="D19" i="14"/>
  <c r="C19" i="14"/>
  <c r="B19" i="14"/>
  <c r="G18" i="14"/>
  <c r="F18" i="14"/>
  <c r="E18" i="14"/>
  <c r="D18" i="14"/>
  <c r="C18" i="14"/>
  <c r="B18" i="14"/>
  <c r="G17" i="14"/>
  <c r="F17" i="14"/>
  <c r="E17" i="14"/>
  <c r="D17" i="14"/>
  <c r="C17" i="14"/>
  <c r="B17" i="14"/>
  <c r="G16" i="14"/>
  <c r="F16" i="14"/>
  <c r="E16" i="14"/>
  <c r="D16" i="14"/>
  <c r="C16" i="14"/>
  <c r="B16" i="14"/>
  <c r="G15" i="14"/>
  <c r="F15" i="14"/>
  <c r="E15" i="14"/>
  <c r="D15" i="14"/>
  <c r="C15" i="14"/>
  <c r="B15" i="14"/>
  <c r="G14" i="14"/>
  <c r="F14" i="14"/>
  <c r="E14" i="14"/>
  <c r="D14" i="14"/>
  <c r="C14" i="14"/>
  <c r="B14" i="14"/>
  <c r="G13" i="14"/>
  <c r="F13" i="14"/>
  <c r="E13" i="14"/>
  <c r="D13" i="14"/>
  <c r="C13" i="14"/>
  <c r="B13" i="14"/>
  <c r="G12" i="14"/>
  <c r="F12" i="14"/>
  <c r="E12" i="14"/>
  <c r="D12" i="14"/>
  <c r="C12" i="14"/>
  <c r="B12" i="14"/>
  <c r="G11" i="14"/>
  <c r="F11" i="14"/>
  <c r="E11" i="14"/>
  <c r="D11" i="14"/>
  <c r="C11" i="14"/>
  <c r="B11" i="14"/>
  <c r="G10" i="14"/>
  <c r="F10" i="14"/>
  <c r="E10" i="14"/>
  <c r="D10" i="14"/>
  <c r="C10" i="14"/>
  <c r="B10" i="14"/>
  <c r="G9" i="14"/>
  <c r="F9" i="14"/>
  <c r="E9" i="14"/>
  <c r="D9" i="14"/>
  <c r="C9" i="14"/>
  <c r="B9" i="14"/>
  <c r="G8" i="14"/>
  <c r="F8" i="14"/>
  <c r="E8" i="14"/>
  <c r="D8" i="14"/>
  <c r="C8" i="14"/>
  <c r="B8" i="14"/>
  <c r="G7" i="14"/>
  <c r="F7" i="14"/>
  <c r="E7" i="14"/>
  <c r="D7" i="14"/>
  <c r="C7" i="14"/>
  <c r="B7" i="14"/>
  <c r="J77" i="12"/>
  <c r="J78" i="12"/>
  <c r="J79" i="12"/>
  <c r="J80" i="12"/>
  <c r="J81" i="12"/>
  <c r="J82" i="12"/>
  <c r="J83" i="12"/>
  <c r="J76" i="12"/>
  <c r="J74" i="12"/>
  <c r="I77" i="12"/>
  <c r="I78" i="12"/>
  <c r="I79" i="12"/>
  <c r="I80" i="12"/>
  <c r="I81" i="12"/>
  <c r="I82" i="12"/>
  <c r="I83" i="12"/>
  <c r="I76" i="12"/>
  <c r="I74" i="12"/>
  <c r="H77" i="12"/>
  <c r="H78" i="12"/>
  <c r="H79" i="12"/>
  <c r="H80" i="12"/>
  <c r="H81" i="12"/>
  <c r="H82" i="12"/>
  <c r="H83" i="12"/>
  <c r="H76" i="12"/>
  <c r="H74" i="12"/>
  <c r="J62" i="12"/>
  <c r="J63" i="12"/>
  <c r="J64" i="12"/>
  <c r="J65" i="12"/>
  <c r="I63" i="12"/>
  <c r="I64" i="12"/>
  <c r="I65" i="12"/>
  <c r="I62" i="12"/>
  <c r="H62" i="12"/>
  <c r="H63" i="12"/>
  <c r="H64" i="12"/>
  <c r="H65" i="12"/>
  <c r="G63" i="12"/>
  <c r="G64" i="12"/>
  <c r="G65" i="12"/>
  <c r="G62" i="12"/>
  <c r="F62" i="12"/>
  <c r="F63" i="12"/>
  <c r="F64" i="12"/>
  <c r="F65" i="12"/>
  <c r="E63" i="12"/>
  <c r="E64" i="12"/>
  <c r="E65" i="12"/>
  <c r="E62" i="12"/>
  <c r="D62" i="12"/>
  <c r="J30" i="12" l="1"/>
  <c r="I31" i="12"/>
  <c r="I32" i="12"/>
  <c r="I30" i="12"/>
  <c r="H31" i="12"/>
  <c r="H32" i="12"/>
  <c r="G31" i="12"/>
  <c r="G30" i="12"/>
  <c r="F30" i="12"/>
  <c r="E30" i="12"/>
  <c r="E31" i="12"/>
  <c r="E32" i="12"/>
  <c r="D30" i="12"/>
  <c r="J18" i="12"/>
  <c r="J23" i="12"/>
  <c r="I18" i="12"/>
  <c r="I23" i="12"/>
  <c r="H18" i="12"/>
  <c r="H23" i="12"/>
  <c r="G23" i="12"/>
  <c r="G18" i="12"/>
  <c r="F18" i="12"/>
  <c r="F23" i="12"/>
  <c r="E23" i="12"/>
  <c r="E18" i="12"/>
  <c r="D18" i="12"/>
  <c r="D23" i="12"/>
  <c r="J15" i="12"/>
  <c r="I15" i="12"/>
  <c r="H15" i="12"/>
  <c r="G15" i="12"/>
  <c r="F15" i="12"/>
  <c r="E15" i="12"/>
  <c r="I13" i="12"/>
  <c r="H13" i="12"/>
  <c r="G13" i="12"/>
  <c r="F13" i="12"/>
  <c r="E13" i="12"/>
  <c r="J12" i="12"/>
  <c r="I12" i="12"/>
  <c r="H12" i="12"/>
  <c r="G12" i="12"/>
  <c r="F12" i="12"/>
  <c r="E12" i="12"/>
  <c r="J10" i="12"/>
  <c r="I14" i="12"/>
  <c r="I10" i="12"/>
  <c r="H14" i="12"/>
  <c r="H10" i="12"/>
  <c r="G10" i="12"/>
  <c r="G14" i="12"/>
  <c r="F10" i="12"/>
  <c r="F14" i="12"/>
  <c r="E14" i="12"/>
  <c r="E10" i="12"/>
  <c r="D10" i="12"/>
  <c r="J11" i="12"/>
  <c r="I11" i="12"/>
  <c r="H11" i="12"/>
  <c r="G11" i="12"/>
  <c r="F11" i="12"/>
  <c r="W19" i="48"/>
  <c r="V19" i="48"/>
  <c r="U19" i="48"/>
  <c r="T19" i="48"/>
  <c r="S19" i="48"/>
  <c r="R19" i="48"/>
  <c r="Q19" i="48"/>
  <c r="P19" i="48"/>
  <c r="O19" i="48"/>
  <c r="N19" i="48"/>
  <c r="M19" i="48"/>
  <c r="L19" i="48"/>
  <c r="I19" i="48"/>
  <c r="H19" i="48"/>
  <c r="G19" i="48"/>
  <c r="F19" i="48"/>
  <c r="E19" i="48"/>
  <c r="D19" i="48"/>
  <c r="C19" i="48"/>
  <c r="B19" i="48"/>
  <c r="W18" i="48"/>
  <c r="V18" i="48"/>
  <c r="U18" i="48"/>
  <c r="T18" i="48"/>
  <c r="S18" i="48"/>
  <c r="R18" i="48"/>
  <c r="Q18" i="48"/>
  <c r="P18" i="48"/>
  <c r="O18" i="48"/>
  <c r="N18" i="48"/>
  <c r="M18" i="48"/>
  <c r="L18" i="48"/>
  <c r="I18" i="48"/>
  <c r="H18" i="48"/>
  <c r="G18" i="48"/>
  <c r="F18" i="48"/>
  <c r="E18" i="48"/>
  <c r="D18" i="48"/>
  <c r="C18" i="48"/>
  <c r="B18" i="48"/>
  <c r="W17" i="48"/>
  <c r="V17" i="48"/>
  <c r="U17" i="48"/>
  <c r="T17" i="48"/>
  <c r="S17" i="48"/>
  <c r="R17" i="48"/>
  <c r="Q17" i="48"/>
  <c r="P17" i="48"/>
  <c r="O17" i="48"/>
  <c r="N17" i="48"/>
  <c r="M17" i="48"/>
  <c r="L17" i="48"/>
  <c r="I17" i="48"/>
  <c r="H17" i="48"/>
  <c r="G17" i="48"/>
  <c r="F17" i="48"/>
  <c r="E17" i="48"/>
  <c r="D17" i="48"/>
  <c r="C17" i="48"/>
  <c r="B17" i="48"/>
  <c r="W15" i="48"/>
  <c r="V15" i="48"/>
  <c r="U15" i="48"/>
  <c r="T15" i="48"/>
  <c r="S15" i="48"/>
  <c r="R15" i="48"/>
  <c r="Q15" i="48"/>
  <c r="P15" i="48"/>
  <c r="O15" i="48"/>
  <c r="N15" i="48"/>
  <c r="M15" i="48"/>
  <c r="L15" i="48"/>
  <c r="I15" i="48"/>
  <c r="H15" i="48"/>
  <c r="G15" i="48"/>
  <c r="F15" i="48"/>
  <c r="E15" i="48"/>
  <c r="D15" i="48"/>
  <c r="C15" i="48"/>
  <c r="B15" i="48"/>
  <c r="W14" i="48"/>
  <c r="V14" i="48"/>
  <c r="U14" i="48"/>
  <c r="T14" i="48"/>
  <c r="S14" i="48"/>
  <c r="R14" i="48"/>
  <c r="Q14" i="48"/>
  <c r="P14" i="48"/>
  <c r="O14" i="48"/>
  <c r="N14" i="48"/>
  <c r="M14" i="48"/>
  <c r="L14" i="48"/>
  <c r="I14" i="48"/>
  <c r="H14" i="48"/>
  <c r="G14" i="48"/>
  <c r="F14" i="48"/>
  <c r="E14" i="48"/>
  <c r="D14" i="48"/>
  <c r="C14" i="48"/>
  <c r="B14" i="48"/>
  <c r="W13" i="48"/>
  <c r="V13" i="48"/>
  <c r="U13" i="48"/>
  <c r="T13" i="48"/>
  <c r="S13" i="48"/>
  <c r="R13" i="48"/>
  <c r="Q13" i="48"/>
  <c r="P13" i="48"/>
  <c r="O13" i="48"/>
  <c r="N13" i="48"/>
  <c r="M13" i="48"/>
  <c r="L13" i="48"/>
  <c r="I13" i="48"/>
  <c r="H13" i="48"/>
  <c r="G13" i="48"/>
  <c r="F13" i="48"/>
  <c r="E13" i="48"/>
  <c r="D13" i="48"/>
  <c r="C13" i="48"/>
  <c r="B13" i="48"/>
  <c r="W12" i="48"/>
  <c r="V12" i="48"/>
  <c r="U12" i="48"/>
  <c r="T12" i="48"/>
  <c r="S12" i="48"/>
  <c r="R12" i="48"/>
  <c r="Q12" i="48"/>
  <c r="P12" i="48"/>
  <c r="O12" i="48"/>
  <c r="N12" i="48"/>
  <c r="M12" i="48"/>
  <c r="L12" i="48"/>
  <c r="I12" i="48"/>
  <c r="H12" i="48"/>
  <c r="G12" i="48"/>
  <c r="F12" i="48"/>
  <c r="E12" i="48"/>
  <c r="D12" i="48"/>
  <c r="C12" i="48"/>
  <c r="B12" i="48"/>
  <c r="W11" i="48"/>
  <c r="V11" i="48"/>
  <c r="U11" i="48"/>
  <c r="T11" i="48"/>
  <c r="S11" i="48"/>
  <c r="R11" i="48"/>
  <c r="Q11" i="48"/>
  <c r="P11" i="48"/>
  <c r="O11" i="48"/>
  <c r="N11" i="48"/>
  <c r="M11" i="48"/>
  <c r="L11" i="48"/>
  <c r="I11" i="48"/>
  <c r="H11" i="48"/>
  <c r="G11" i="48"/>
  <c r="F11" i="48"/>
  <c r="E11" i="48"/>
  <c r="D11" i="48"/>
  <c r="C11" i="48"/>
  <c r="B11" i="48"/>
  <c r="I68" i="12" l="1"/>
  <c r="I69" i="12"/>
  <c r="I70" i="12"/>
  <c r="I71" i="12"/>
  <c r="H68" i="12"/>
  <c r="H69" i="12"/>
  <c r="H70" i="12"/>
  <c r="H71" i="12"/>
  <c r="G68" i="12"/>
  <c r="F68" i="12"/>
  <c r="F69" i="12"/>
  <c r="F70" i="12"/>
  <c r="F71" i="12"/>
  <c r="E69" i="12"/>
  <c r="E70" i="12"/>
  <c r="E71" i="12"/>
  <c r="E68" i="12"/>
  <c r="H48" i="72"/>
  <c r="H47" i="72"/>
  <c r="H46" i="72"/>
  <c r="H45" i="72"/>
  <c r="H44" i="72"/>
  <c r="H43" i="72"/>
  <c r="H42" i="72"/>
  <c r="H41" i="72"/>
  <c r="H40" i="72"/>
  <c r="H39" i="72"/>
  <c r="H38" i="72"/>
  <c r="H37" i="72"/>
  <c r="H36" i="72"/>
  <c r="H35" i="72"/>
  <c r="H34" i="72"/>
  <c r="H33" i="72"/>
  <c r="H32" i="72"/>
  <c r="H31" i="72"/>
  <c r="G63" i="72"/>
  <c r="G65" i="72"/>
  <c r="G73" i="72"/>
  <c r="G77" i="72"/>
  <c r="G49" i="72"/>
  <c r="G25" i="72"/>
  <c r="K15" i="81"/>
  <c r="K18" i="81"/>
  <c r="K19" i="81"/>
  <c r="K20" i="81"/>
  <c r="K21" i="81"/>
  <c r="K22" i="81"/>
  <c r="K23" i="81"/>
  <c r="K24" i="81"/>
  <c r="M15" i="67"/>
  <c r="L15" i="67"/>
  <c r="K15" i="67"/>
  <c r="E74" i="65" l="1"/>
  <c r="D74" i="65"/>
  <c r="H12" i="65" l="1"/>
  <c r="F12" i="65"/>
  <c r="F11" i="65"/>
  <c r="G22" i="65" l="1"/>
  <c r="G44" i="65"/>
  <c r="G86" i="65"/>
  <c r="E91" i="65" l="1"/>
  <c r="E90" i="65"/>
  <c r="E89" i="65"/>
  <c r="E88" i="65"/>
  <c r="E87" i="65"/>
  <c r="E86" i="65"/>
  <c r="E85" i="65"/>
  <c r="E84" i="65"/>
  <c r="E83" i="65"/>
  <c r="E82" i="65"/>
  <c r="E81" i="65"/>
  <c r="E80" i="65"/>
  <c r="E79" i="65"/>
  <c r="E78" i="65"/>
  <c r="E77" i="65"/>
  <c r="E76" i="65"/>
  <c r="E75" i="65"/>
  <c r="E73" i="65"/>
  <c r="E72" i="65"/>
  <c r="E71" i="65"/>
  <c r="E70" i="65"/>
  <c r="E69" i="65"/>
  <c r="E68" i="65"/>
  <c r="E67" i="65"/>
  <c r="E66" i="65"/>
  <c r="E65" i="65"/>
  <c r="E64" i="65"/>
  <c r="E63" i="65"/>
  <c r="E62" i="65"/>
  <c r="E61" i="65"/>
  <c r="E60" i="65"/>
  <c r="E59" i="65"/>
  <c r="E58" i="65"/>
  <c r="E57" i="65"/>
  <c r="E56" i="65"/>
  <c r="E55" i="65"/>
  <c r="E54" i="65"/>
  <c r="E53" i="65"/>
  <c r="E52" i="65"/>
  <c r="E51" i="65"/>
  <c r="E50" i="65"/>
  <c r="E49" i="65"/>
  <c r="E48" i="65"/>
  <c r="E47" i="65"/>
  <c r="E46" i="65"/>
  <c r="E45" i="65"/>
  <c r="E44" i="65"/>
  <c r="E43" i="65"/>
  <c r="E42" i="65"/>
  <c r="E41" i="65"/>
  <c r="E40" i="65"/>
  <c r="E39" i="65"/>
  <c r="E38" i="65"/>
  <c r="E37" i="65"/>
  <c r="E36" i="65"/>
  <c r="E35" i="65"/>
  <c r="E33" i="65"/>
  <c r="E29" i="65"/>
  <c r="E25" i="65"/>
  <c r="E24" i="65"/>
  <c r="E23" i="65"/>
  <c r="E22" i="65"/>
  <c r="E21" i="65"/>
  <c r="E20" i="65"/>
  <c r="E19" i="65"/>
  <c r="E18" i="65"/>
  <c r="E17" i="65"/>
  <c r="E16" i="65"/>
  <c r="E15" i="65" l="1"/>
  <c r="E14" i="65"/>
  <c r="E13" i="65"/>
  <c r="E12" i="65"/>
  <c r="E11" i="65"/>
  <c r="E8" i="65" l="1"/>
  <c r="E9" i="65"/>
  <c r="E10" i="65"/>
  <c r="D91" i="65" l="1"/>
  <c r="D90" i="65"/>
  <c r="D89" i="65"/>
  <c r="D88" i="65"/>
  <c r="D87" i="65"/>
  <c r="D86" i="65"/>
  <c r="D85" i="65"/>
  <c r="D84" i="65"/>
  <c r="D83" i="65"/>
  <c r="D82" i="65"/>
  <c r="D81" i="65"/>
  <c r="D80" i="65"/>
  <c r="D79" i="65"/>
  <c r="D78" i="65"/>
  <c r="D77" i="65"/>
  <c r="D76" i="65"/>
  <c r="D75" i="65"/>
  <c r="D73" i="65"/>
  <c r="D72" i="65"/>
  <c r="D71" i="65"/>
  <c r="D70" i="65"/>
  <c r="D69" i="65"/>
  <c r="D68" i="65"/>
  <c r="D67" i="65"/>
  <c r="D66" i="65"/>
  <c r="D65" i="65"/>
  <c r="D64" i="65"/>
  <c r="D63" i="65"/>
  <c r="D62" i="65"/>
  <c r="D61" i="65"/>
  <c r="D60" i="65"/>
  <c r="D58" i="65"/>
  <c r="D59" i="65"/>
  <c r="D57" i="65"/>
  <c r="D56" i="65"/>
  <c r="D55" i="65"/>
  <c r="D54" i="65"/>
  <c r="D53" i="65"/>
  <c r="D52" i="65"/>
  <c r="D51" i="65"/>
  <c r="D50" i="65"/>
  <c r="D49" i="65"/>
  <c r="D48" i="65"/>
  <c r="D47" i="65"/>
  <c r="D46" i="65"/>
  <c r="D45" i="65"/>
  <c r="D44" i="65"/>
  <c r="D43" i="65"/>
  <c r="D42" i="65"/>
  <c r="D41" i="65"/>
  <c r="D40" i="65"/>
  <c r="D39" i="65"/>
  <c r="D38" i="65"/>
  <c r="D37" i="65"/>
  <c r="D36" i="65"/>
  <c r="D35" i="65"/>
  <c r="D33" i="65"/>
  <c r="D29" i="65"/>
  <c r="D25" i="65"/>
  <c r="D24" i="65"/>
  <c r="D23" i="65"/>
  <c r="D22" i="65"/>
  <c r="D21" i="65"/>
  <c r="D20" i="65"/>
  <c r="D19" i="65"/>
  <c r="D18" i="65"/>
  <c r="D17" i="65"/>
  <c r="D15" i="65"/>
  <c r="D14" i="65"/>
  <c r="D13" i="65"/>
  <c r="D12" i="65"/>
  <c r="D11" i="65"/>
  <c r="D10" i="65"/>
  <c r="D16" i="65"/>
  <c r="D9" i="65"/>
  <c r="D8" i="65"/>
  <c r="F18" i="102" l="1"/>
  <c r="F15" i="102"/>
  <c r="F14" i="102"/>
  <c r="F12" i="102"/>
  <c r="F9" i="102"/>
  <c r="F17" i="102"/>
  <c r="F16" i="102"/>
  <c r="F11" i="102"/>
  <c r="F10" i="102"/>
  <c r="F8" i="102"/>
  <c r="F7" i="102"/>
  <c r="F6" i="102"/>
  <c r="C7" i="64"/>
  <c r="E7" i="64"/>
  <c r="F7" i="64"/>
  <c r="G7" i="64"/>
  <c r="E21" i="64"/>
  <c r="F21" i="64"/>
  <c r="G21" i="64"/>
  <c r="E28" i="64"/>
  <c r="F28" i="64"/>
  <c r="G28" i="64"/>
  <c r="E30" i="64"/>
  <c r="F30" i="64"/>
  <c r="G30" i="64"/>
  <c r="E31" i="64"/>
  <c r="F31" i="64"/>
  <c r="G31" i="64"/>
  <c r="E34" i="64"/>
  <c r="F34" i="64"/>
  <c r="G34" i="64"/>
  <c r="E36" i="64"/>
  <c r="F36" i="64"/>
  <c r="G36" i="64"/>
  <c r="E47" i="64"/>
  <c r="F47" i="64"/>
  <c r="G47" i="64"/>
  <c r="C5" i="64"/>
  <c r="C37" i="64"/>
  <c r="C36" i="64"/>
  <c r="C30" i="64"/>
  <c r="C20" i="64"/>
  <c r="C19" i="64"/>
  <c r="C10" i="64"/>
  <c r="C9" i="64"/>
  <c r="C8" i="64"/>
  <c r="C48" i="64"/>
  <c r="C47" i="64"/>
  <c r="C46" i="64"/>
  <c r="C44" i="64"/>
  <c r="C42" i="64"/>
  <c r="C41" i="64"/>
  <c r="C38" i="64"/>
  <c r="C35" i="64"/>
  <c r="C34" i="64"/>
  <c r="C33" i="64"/>
  <c r="C32" i="64"/>
  <c r="C31" i="64"/>
  <c r="C29" i="64"/>
  <c r="C28" i="64"/>
  <c r="C27" i="64"/>
  <c r="C24" i="64"/>
  <c r="C22" i="64"/>
  <c r="C21" i="64"/>
  <c r="C18" i="64"/>
  <c r="C17" i="64"/>
  <c r="C16" i="64"/>
  <c r="C15" i="64"/>
  <c r="C14" i="64"/>
  <c r="C13" i="64"/>
  <c r="C12" i="64"/>
  <c r="C11" i="64"/>
  <c r="C50" i="64"/>
  <c r="E49" i="63"/>
  <c r="F49" i="63"/>
  <c r="G49" i="63"/>
  <c r="H49" i="63"/>
  <c r="I49" i="63"/>
  <c r="J49" i="63"/>
  <c r="K49" i="63"/>
  <c r="L49" i="63"/>
  <c r="M49" i="63"/>
  <c r="N49" i="63"/>
  <c r="O49" i="63"/>
  <c r="P49" i="63"/>
  <c r="Q49" i="63"/>
  <c r="R49" i="63"/>
  <c r="S49" i="63"/>
  <c r="T49" i="63"/>
  <c r="U49" i="63"/>
  <c r="V49" i="63"/>
  <c r="W49" i="63"/>
  <c r="X49" i="63"/>
  <c r="Y49" i="63"/>
  <c r="Z49" i="63"/>
  <c r="AA49" i="63"/>
  <c r="AB49" i="63"/>
  <c r="AC49" i="63"/>
  <c r="AD49" i="63"/>
  <c r="E50" i="63"/>
  <c r="F50" i="63"/>
  <c r="G50" i="63"/>
  <c r="H50" i="63"/>
  <c r="I50" i="63"/>
  <c r="J50" i="63"/>
  <c r="K50" i="63"/>
  <c r="L50" i="63"/>
  <c r="M50" i="63"/>
  <c r="N50" i="63"/>
  <c r="O50" i="63"/>
  <c r="P50" i="63"/>
  <c r="Q50" i="63"/>
  <c r="R50" i="63"/>
  <c r="S50" i="63"/>
  <c r="T50" i="63"/>
  <c r="U50" i="63"/>
  <c r="V50" i="63"/>
  <c r="W50" i="63"/>
  <c r="X50" i="63"/>
  <c r="Y50" i="63"/>
  <c r="Z50" i="63"/>
  <c r="AA50" i="63"/>
  <c r="AB50" i="63"/>
  <c r="AC50" i="63"/>
  <c r="AD50" i="63"/>
  <c r="H54" i="63"/>
  <c r="J54" i="63"/>
  <c r="L54" i="63"/>
  <c r="N54" i="63"/>
  <c r="P54" i="63"/>
  <c r="R54" i="63"/>
  <c r="T54" i="63"/>
  <c r="V54" i="63"/>
  <c r="X54" i="63"/>
  <c r="Z54" i="63"/>
  <c r="AB54" i="63"/>
  <c r="AD54" i="63"/>
  <c r="H55" i="63"/>
  <c r="J55" i="63"/>
  <c r="L55" i="63"/>
  <c r="N55" i="63"/>
  <c r="P55" i="63"/>
  <c r="R55" i="63"/>
  <c r="T55" i="63"/>
  <c r="V55" i="63"/>
  <c r="X55" i="63"/>
  <c r="Z55" i="63"/>
  <c r="AB55" i="63"/>
  <c r="AD55" i="63"/>
  <c r="H56" i="63"/>
  <c r="J56" i="63"/>
  <c r="L56" i="63"/>
  <c r="N56" i="63"/>
  <c r="P56" i="63"/>
  <c r="R56" i="63"/>
  <c r="T56" i="63"/>
  <c r="V56" i="63"/>
  <c r="X56" i="63"/>
  <c r="Z56" i="63"/>
  <c r="AB56" i="63"/>
  <c r="AD56" i="63"/>
  <c r="H57" i="63"/>
  <c r="J57" i="63"/>
  <c r="L57" i="63"/>
  <c r="N57" i="63"/>
  <c r="P57" i="63"/>
  <c r="R57" i="63"/>
  <c r="T57" i="63"/>
  <c r="V57" i="63"/>
  <c r="X57" i="63"/>
  <c r="Z57" i="63"/>
  <c r="AB57" i="63"/>
  <c r="AD57" i="63"/>
  <c r="H58" i="63"/>
  <c r="J58" i="63"/>
  <c r="L58" i="63"/>
  <c r="N58" i="63"/>
  <c r="P58" i="63"/>
  <c r="R58" i="63"/>
  <c r="T58" i="63"/>
  <c r="V58" i="63"/>
  <c r="X58" i="63"/>
  <c r="Z58" i="63"/>
  <c r="AB58" i="63"/>
  <c r="AD58" i="63"/>
  <c r="H59" i="63"/>
  <c r="J59" i="63"/>
  <c r="L59" i="63"/>
  <c r="N59" i="63"/>
  <c r="P59" i="63"/>
  <c r="R59" i="63"/>
  <c r="T59" i="63"/>
  <c r="V59" i="63"/>
  <c r="X59" i="63"/>
  <c r="Z59" i="63"/>
  <c r="AB59" i="63"/>
  <c r="AD59" i="63"/>
  <c r="H60" i="63"/>
  <c r="J60" i="63"/>
  <c r="L60" i="63"/>
  <c r="N60" i="63"/>
  <c r="P60" i="63"/>
  <c r="R60" i="63"/>
  <c r="T60" i="63"/>
  <c r="V60" i="63"/>
  <c r="X60" i="63"/>
  <c r="Z60" i="63"/>
  <c r="AB60" i="63"/>
  <c r="AD60" i="63"/>
  <c r="H61" i="63"/>
  <c r="J61" i="63"/>
  <c r="L61" i="63"/>
  <c r="N61" i="63"/>
  <c r="P61" i="63"/>
  <c r="R61" i="63"/>
  <c r="T61" i="63"/>
  <c r="V61" i="63"/>
  <c r="X61" i="63"/>
  <c r="Z61" i="63"/>
  <c r="AB61" i="63"/>
  <c r="AD61" i="63"/>
  <c r="H62" i="63"/>
  <c r="J62" i="63"/>
  <c r="L62" i="63"/>
  <c r="N62" i="63"/>
  <c r="P62" i="63"/>
  <c r="R62" i="63"/>
  <c r="T62" i="63"/>
  <c r="V62" i="63"/>
  <c r="X62" i="63"/>
  <c r="Z62" i="63"/>
  <c r="AB62" i="63"/>
  <c r="AD62" i="63"/>
  <c r="H63" i="63"/>
  <c r="J63" i="63"/>
  <c r="L63" i="63"/>
  <c r="N63" i="63"/>
  <c r="P63" i="63"/>
  <c r="R63" i="63"/>
  <c r="T63" i="63"/>
  <c r="V63" i="63"/>
  <c r="X63" i="63"/>
  <c r="Z63" i="63"/>
  <c r="AB63" i="63"/>
  <c r="AD63" i="63"/>
  <c r="H64" i="63"/>
  <c r="J64" i="63"/>
  <c r="L64" i="63"/>
  <c r="N64" i="63"/>
  <c r="P64" i="63"/>
  <c r="R64" i="63"/>
  <c r="T64" i="63"/>
  <c r="V64" i="63"/>
  <c r="X64" i="63"/>
  <c r="Z64" i="63"/>
  <c r="AB64" i="63"/>
  <c r="AD64" i="63"/>
  <c r="F61" i="63"/>
  <c r="F62" i="63"/>
  <c r="F63" i="63"/>
  <c r="F64" i="63"/>
  <c r="F56" i="63"/>
  <c r="F57" i="63"/>
  <c r="F58" i="63"/>
  <c r="F59" i="63"/>
  <c r="F60" i="63"/>
  <c r="F54" i="63"/>
  <c r="F55" i="63"/>
  <c r="G5" i="63"/>
  <c r="H5" i="63"/>
  <c r="I5" i="63"/>
  <c r="J5" i="63"/>
  <c r="K5" i="63"/>
  <c r="L5" i="63"/>
  <c r="M5" i="63"/>
  <c r="N5" i="63"/>
  <c r="O5" i="63"/>
  <c r="P5" i="63"/>
  <c r="Q5" i="63"/>
  <c r="R5" i="63"/>
  <c r="S5" i="63"/>
  <c r="T5" i="63"/>
  <c r="U5" i="63"/>
  <c r="V5" i="63"/>
  <c r="W5" i="63"/>
  <c r="X5" i="63"/>
  <c r="Y5" i="63"/>
  <c r="Z5" i="63"/>
  <c r="AA5" i="63"/>
  <c r="AB5" i="63"/>
  <c r="AC5" i="63"/>
  <c r="AD5" i="63"/>
  <c r="G6" i="63"/>
  <c r="H6" i="63"/>
  <c r="I6" i="63"/>
  <c r="J6" i="63"/>
  <c r="K6" i="63"/>
  <c r="L6" i="63"/>
  <c r="M6" i="63"/>
  <c r="N6" i="63"/>
  <c r="O6" i="63"/>
  <c r="P6" i="63"/>
  <c r="Q6" i="63"/>
  <c r="R6" i="63"/>
  <c r="S6" i="63"/>
  <c r="T6" i="63"/>
  <c r="U6" i="63"/>
  <c r="V6" i="63"/>
  <c r="W6" i="63"/>
  <c r="X6" i="63"/>
  <c r="Y6" i="63"/>
  <c r="Z6" i="63"/>
  <c r="AA6" i="63"/>
  <c r="AB6" i="63"/>
  <c r="AC6" i="63"/>
  <c r="AD6" i="63"/>
  <c r="G7" i="63"/>
  <c r="H7" i="63"/>
  <c r="I7" i="63"/>
  <c r="J7" i="63"/>
  <c r="K7" i="63"/>
  <c r="L7" i="63"/>
  <c r="M7" i="63"/>
  <c r="N7" i="63"/>
  <c r="O7" i="63"/>
  <c r="P7" i="63"/>
  <c r="Q7" i="63"/>
  <c r="R7" i="63"/>
  <c r="S7" i="63"/>
  <c r="T7" i="63"/>
  <c r="U7" i="63"/>
  <c r="V7" i="63"/>
  <c r="W7" i="63"/>
  <c r="X7" i="63"/>
  <c r="Y7" i="63"/>
  <c r="Z7" i="63"/>
  <c r="AA7" i="63"/>
  <c r="AB7" i="63"/>
  <c r="AC7" i="63"/>
  <c r="AD7" i="63"/>
  <c r="G8" i="63"/>
  <c r="H8" i="63"/>
  <c r="I8" i="63"/>
  <c r="J8" i="63"/>
  <c r="K8" i="63"/>
  <c r="L8" i="63"/>
  <c r="M8" i="63"/>
  <c r="N8" i="63"/>
  <c r="O8" i="63"/>
  <c r="P8" i="63"/>
  <c r="Q8" i="63"/>
  <c r="R8" i="63"/>
  <c r="S8" i="63"/>
  <c r="T8" i="63"/>
  <c r="U8" i="63"/>
  <c r="V8" i="63"/>
  <c r="W8" i="63"/>
  <c r="X8" i="63"/>
  <c r="Y8" i="63"/>
  <c r="Z8" i="63"/>
  <c r="AA8" i="63"/>
  <c r="AB8" i="63"/>
  <c r="AC8" i="63"/>
  <c r="AD8" i="63"/>
  <c r="G9" i="63"/>
  <c r="H9" i="63"/>
  <c r="I9" i="63"/>
  <c r="J9" i="63"/>
  <c r="K9" i="63"/>
  <c r="L9" i="63"/>
  <c r="M9" i="63"/>
  <c r="N9" i="63"/>
  <c r="O9" i="63"/>
  <c r="P9" i="63"/>
  <c r="Q9" i="63"/>
  <c r="R9" i="63"/>
  <c r="S9" i="63"/>
  <c r="T9" i="63"/>
  <c r="U9" i="63"/>
  <c r="V9" i="63"/>
  <c r="W9" i="63"/>
  <c r="X9" i="63"/>
  <c r="Y9" i="63"/>
  <c r="Z9" i="63"/>
  <c r="AA9" i="63"/>
  <c r="AB9" i="63"/>
  <c r="AC9" i="63"/>
  <c r="AD9" i="63"/>
  <c r="G10" i="63"/>
  <c r="H10" i="63"/>
  <c r="I10" i="63"/>
  <c r="J10" i="63"/>
  <c r="K10" i="63"/>
  <c r="L10" i="63"/>
  <c r="M10" i="63"/>
  <c r="N10" i="63"/>
  <c r="O10" i="63"/>
  <c r="P10" i="63"/>
  <c r="Q10" i="63"/>
  <c r="R10" i="63"/>
  <c r="S10" i="63"/>
  <c r="T10" i="63"/>
  <c r="U10" i="63"/>
  <c r="V10" i="63"/>
  <c r="W10" i="63"/>
  <c r="X10" i="63"/>
  <c r="Y10" i="63"/>
  <c r="Z10" i="63"/>
  <c r="AA10" i="63"/>
  <c r="AB10" i="63"/>
  <c r="AC10" i="63"/>
  <c r="AD10" i="63"/>
  <c r="G11" i="63"/>
  <c r="H11" i="63"/>
  <c r="I11" i="63"/>
  <c r="J11" i="63"/>
  <c r="K11" i="63"/>
  <c r="L11" i="63"/>
  <c r="M11" i="63"/>
  <c r="N11" i="63"/>
  <c r="O11" i="63"/>
  <c r="P11" i="63"/>
  <c r="Q11" i="63"/>
  <c r="R11" i="63"/>
  <c r="S11" i="63"/>
  <c r="T11" i="63"/>
  <c r="U11" i="63"/>
  <c r="V11" i="63"/>
  <c r="W11" i="63"/>
  <c r="X11" i="63"/>
  <c r="Y11" i="63"/>
  <c r="Z11" i="63"/>
  <c r="AA11" i="63"/>
  <c r="AB11" i="63"/>
  <c r="AC11" i="63"/>
  <c r="AD11" i="63"/>
  <c r="G12" i="63"/>
  <c r="H12" i="63"/>
  <c r="I12" i="63"/>
  <c r="J12" i="63"/>
  <c r="K12" i="63"/>
  <c r="L12" i="63"/>
  <c r="M12" i="63"/>
  <c r="N12" i="63"/>
  <c r="O12" i="63"/>
  <c r="P12" i="63"/>
  <c r="Q12" i="63"/>
  <c r="R12" i="63"/>
  <c r="S12" i="63"/>
  <c r="T12" i="63"/>
  <c r="U12" i="63"/>
  <c r="V12" i="63"/>
  <c r="W12" i="63"/>
  <c r="X12" i="63"/>
  <c r="Y12" i="63"/>
  <c r="Z12" i="63"/>
  <c r="AA12" i="63"/>
  <c r="AB12" i="63"/>
  <c r="AC12" i="63"/>
  <c r="AD12" i="63"/>
  <c r="G13" i="63"/>
  <c r="H13" i="63"/>
  <c r="I13" i="63"/>
  <c r="J13" i="63"/>
  <c r="K13" i="63"/>
  <c r="L13" i="63"/>
  <c r="M13" i="63"/>
  <c r="N13" i="63"/>
  <c r="O13" i="63"/>
  <c r="P13" i="63"/>
  <c r="Q13" i="63"/>
  <c r="R13" i="63"/>
  <c r="S13" i="63"/>
  <c r="T13" i="63"/>
  <c r="U13" i="63"/>
  <c r="V13" i="63"/>
  <c r="W13" i="63"/>
  <c r="X13" i="63"/>
  <c r="Y13" i="63"/>
  <c r="Z13" i="63"/>
  <c r="AA13" i="63"/>
  <c r="AB13" i="63"/>
  <c r="AC13" i="63"/>
  <c r="AD13" i="63"/>
  <c r="G14" i="63"/>
  <c r="H14" i="63"/>
  <c r="I14" i="63"/>
  <c r="J14" i="63"/>
  <c r="K14" i="63"/>
  <c r="L14" i="63"/>
  <c r="M14" i="63"/>
  <c r="N14" i="63"/>
  <c r="O14" i="63"/>
  <c r="P14" i="63"/>
  <c r="Q14" i="63"/>
  <c r="R14" i="63"/>
  <c r="S14" i="63"/>
  <c r="T14" i="63"/>
  <c r="U14" i="63"/>
  <c r="V14" i="63"/>
  <c r="W14" i="63"/>
  <c r="X14" i="63"/>
  <c r="Y14" i="63"/>
  <c r="Z14" i="63"/>
  <c r="AA14" i="63"/>
  <c r="AB14" i="63"/>
  <c r="AC14" i="63"/>
  <c r="AD14" i="63"/>
  <c r="G15" i="63"/>
  <c r="H15" i="63"/>
  <c r="I15" i="63"/>
  <c r="J15" i="63"/>
  <c r="K15" i="63"/>
  <c r="L15" i="63"/>
  <c r="M15" i="63"/>
  <c r="N15" i="63"/>
  <c r="O15" i="63"/>
  <c r="P15" i="63"/>
  <c r="Q15" i="63"/>
  <c r="R15" i="63"/>
  <c r="S15" i="63"/>
  <c r="T15" i="63"/>
  <c r="U15" i="63"/>
  <c r="V15" i="63"/>
  <c r="W15" i="63"/>
  <c r="X15" i="63"/>
  <c r="Y15" i="63"/>
  <c r="Z15" i="63"/>
  <c r="AA15" i="63"/>
  <c r="AB15" i="63"/>
  <c r="AC15" i="63"/>
  <c r="AD15" i="63"/>
  <c r="G16" i="63"/>
  <c r="H16" i="63"/>
  <c r="I16" i="63"/>
  <c r="J16" i="63"/>
  <c r="K16" i="63"/>
  <c r="L16" i="63"/>
  <c r="M16" i="63"/>
  <c r="N16" i="63"/>
  <c r="O16" i="63"/>
  <c r="P16" i="63"/>
  <c r="Q16" i="63"/>
  <c r="R16" i="63"/>
  <c r="S16" i="63"/>
  <c r="T16" i="63"/>
  <c r="U16" i="63"/>
  <c r="V16" i="63"/>
  <c r="W16" i="63"/>
  <c r="X16" i="63"/>
  <c r="Y16" i="63"/>
  <c r="Z16" i="63"/>
  <c r="AA16" i="63"/>
  <c r="AB16" i="63"/>
  <c r="AC16" i="63"/>
  <c r="AD16" i="63"/>
  <c r="G17" i="63"/>
  <c r="H17" i="63"/>
  <c r="I17" i="63"/>
  <c r="J17" i="63"/>
  <c r="K17" i="63"/>
  <c r="L17" i="63"/>
  <c r="M17" i="63"/>
  <c r="N17" i="63"/>
  <c r="O17" i="63"/>
  <c r="P17" i="63"/>
  <c r="Q17" i="63"/>
  <c r="R17" i="63"/>
  <c r="S17" i="63"/>
  <c r="T17" i="63"/>
  <c r="U17" i="63"/>
  <c r="V17" i="63"/>
  <c r="W17" i="63"/>
  <c r="X17" i="63"/>
  <c r="Y17" i="63"/>
  <c r="Z17" i="63"/>
  <c r="AA17" i="63"/>
  <c r="AB17" i="63"/>
  <c r="AC17" i="63"/>
  <c r="AD17" i="63"/>
  <c r="G18" i="63"/>
  <c r="H18" i="63"/>
  <c r="I18" i="63"/>
  <c r="J18" i="63"/>
  <c r="K18" i="63"/>
  <c r="L18" i="63"/>
  <c r="M18" i="63"/>
  <c r="N18" i="63"/>
  <c r="O18" i="63"/>
  <c r="P18" i="63"/>
  <c r="Q18" i="63"/>
  <c r="R18" i="63"/>
  <c r="S18" i="63"/>
  <c r="T18" i="63"/>
  <c r="U18" i="63"/>
  <c r="V18" i="63"/>
  <c r="W18" i="63"/>
  <c r="X18" i="63"/>
  <c r="Y18" i="63"/>
  <c r="Z18" i="63"/>
  <c r="AA18" i="63"/>
  <c r="AB18" i="63"/>
  <c r="AC18" i="63"/>
  <c r="AD18" i="63"/>
  <c r="G19" i="63"/>
  <c r="H19" i="63"/>
  <c r="I19" i="63"/>
  <c r="J19" i="63"/>
  <c r="K19" i="63"/>
  <c r="L19" i="63"/>
  <c r="M19" i="63"/>
  <c r="N19" i="63"/>
  <c r="O19" i="63"/>
  <c r="P19" i="63"/>
  <c r="Q19" i="63"/>
  <c r="R19" i="63"/>
  <c r="S19" i="63"/>
  <c r="T19" i="63"/>
  <c r="U19" i="63"/>
  <c r="V19" i="63"/>
  <c r="W19" i="63"/>
  <c r="X19" i="63"/>
  <c r="Y19" i="63"/>
  <c r="Z19" i="63"/>
  <c r="AA19" i="63"/>
  <c r="AB19" i="63"/>
  <c r="AC19" i="63"/>
  <c r="AD19" i="63"/>
  <c r="G20" i="63"/>
  <c r="H20" i="63"/>
  <c r="I20" i="63"/>
  <c r="J20" i="63"/>
  <c r="K20" i="63"/>
  <c r="L20" i="63"/>
  <c r="M20" i="63"/>
  <c r="N20" i="63"/>
  <c r="O20" i="63"/>
  <c r="P20" i="63"/>
  <c r="Q20" i="63"/>
  <c r="R20" i="63"/>
  <c r="S20" i="63"/>
  <c r="T20" i="63"/>
  <c r="U20" i="63"/>
  <c r="V20" i="63"/>
  <c r="W20" i="63"/>
  <c r="X20" i="63"/>
  <c r="Y20" i="63"/>
  <c r="Z20" i="63"/>
  <c r="AA20" i="63"/>
  <c r="AB20" i="63"/>
  <c r="AC20" i="63"/>
  <c r="AD20" i="63"/>
  <c r="G21" i="63"/>
  <c r="H21" i="63"/>
  <c r="I21" i="63"/>
  <c r="J21" i="63"/>
  <c r="K21" i="63"/>
  <c r="L21" i="63"/>
  <c r="M21" i="63"/>
  <c r="N21" i="63"/>
  <c r="O21" i="63"/>
  <c r="P21" i="63"/>
  <c r="Q21" i="63"/>
  <c r="R21" i="63"/>
  <c r="S21" i="63"/>
  <c r="T21" i="63"/>
  <c r="U21" i="63"/>
  <c r="V21" i="63"/>
  <c r="W21" i="63"/>
  <c r="X21" i="63"/>
  <c r="Y21" i="63"/>
  <c r="Z21" i="63"/>
  <c r="AA21" i="63"/>
  <c r="AB21" i="63"/>
  <c r="AC21" i="63"/>
  <c r="AD21" i="63"/>
  <c r="G22" i="63"/>
  <c r="H22" i="63"/>
  <c r="I22" i="63"/>
  <c r="J22" i="63"/>
  <c r="K22" i="63"/>
  <c r="L22" i="63"/>
  <c r="M22" i="63"/>
  <c r="N22" i="63"/>
  <c r="O22" i="63"/>
  <c r="P22" i="63"/>
  <c r="Q22" i="63"/>
  <c r="R22" i="63"/>
  <c r="S22" i="63"/>
  <c r="T22" i="63"/>
  <c r="U22" i="63"/>
  <c r="V22" i="63"/>
  <c r="W22" i="63"/>
  <c r="X22" i="63"/>
  <c r="Y22" i="63"/>
  <c r="Z22" i="63"/>
  <c r="AA22" i="63"/>
  <c r="AB22" i="63"/>
  <c r="AC22" i="63"/>
  <c r="AD22" i="63"/>
  <c r="G23" i="63"/>
  <c r="H23" i="63"/>
  <c r="I23" i="63"/>
  <c r="J23" i="63"/>
  <c r="K23" i="63"/>
  <c r="L23" i="63"/>
  <c r="M23" i="63"/>
  <c r="N23" i="63"/>
  <c r="O23" i="63"/>
  <c r="P23" i="63"/>
  <c r="Q23" i="63"/>
  <c r="R23" i="63"/>
  <c r="S23" i="63"/>
  <c r="T23" i="63"/>
  <c r="U23" i="63"/>
  <c r="V23" i="63"/>
  <c r="W23" i="63"/>
  <c r="X23" i="63"/>
  <c r="Y23" i="63"/>
  <c r="Z23" i="63"/>
  <c r="AA23" i="63"/>
  <c r="AB23" i="63"/>
  <c r="AC23" i="63"/>
  <c r="AD23" i="63"/>
  <c r="G24" i="63"/>
  <c r="H24" i="63"/>
  <c r="I24" i="63"/>
  <c r="J24" i="63"/>
  <c r="K24" i="63"/>
  <c r="L24" i="63"/>
  <c r="M24" i="63"/>
  <c r="N24" i="63"/>
  <c r="O24" i="63"/>
  <c r="P24" i="63"/>
  <c r="Q24" i="63"/>
  <c r="R24" i="63"/>
  <c r="S24" i="63"/>
  <c r="T24" i="63"/>
  <c r="U24" i="63"/>
  <c r="V24" i="63"/>
  <c r="W24" i="63"/>
  <c r="X24" i="63"/>
  <c r="Y24" i="63"/>
  <c r="Z24" i="63"/>
  <c r="AA24" i="63"/>
  <c r="AB24" i="63"/>
  <c r="AC24" i="63"/>
  <c r="AD24" i="63"/>
  <c r="G25" i="63"/>
  <c r="H25" i="63"/>
  <c r="I25" i="63"/>
  <c r="J25" i="63"/>
  <c r="K25" i="63"/>
  <c r="L25" i="63"/>
  <c r="M25" i="63"/>
  <c r="N25" i="63"/>
  <c r="O25" i="63"/>
  <c r="P25" i="63"/>
  <c r="Q25" i="63"/>
  <c r="R25" i="63"/>
  <c r="S25" i="63"/>
  <c r="T25" i="63"/>
  <c r="U25" i="63"/>
  <c r="V25" i="63"/>
  <c r="W25" i="63"/>
  <c r="X25" i="63"/>
  <c r="Y25" i="63"/>
  <c r="Z25" i="63"/>
  <c r="AA25" i="63"/>
  <c r="AB25" i="63"/>
  <c r="AC25" i="63"/>
  <c r="AD25" i="63"/>
  <c r="G26" i="63"/>
  <c r="H26" i="63"/>
  <c r="I26" i="63"/>
  <c r="J26" i="63"/>
  <c r="K26" i="63"/>
  <c r="L26" i="63"/>
  <c r="M26" i="63"/>
  <c r="N26" i="63"/>
  <c r="O26" i="63"/>
  <c r="P26" i="63"/>
  <c r="Q26" i="63"/>
  <c r="R26" i="63"/>
  <c r="S26" i="63"/>
  <c r="T26" i="63"/>
  <c r="U26" i="63"/>
  <c r="V26" i="63"/>
  <c r="W26" i="63"/>
  <c r="X26" i="63"/>
  <c r="Y26" i="63"/>
  <c r="Z26" i="63"/>
  <c r="AA26" i="63"/>
  <c r="AB26" i="63"/>
  <c r="AC26" i="63"/>
  <c r="AD26" i="63"/>
  <c r="G27" i="63"/>
  <c r="H27" i="63"/>
  <c r="I27" i="63"/>
  <c r="J27" i="63"/>
  <c r="K27" i="63"/>
  <c r="L27" i="63"/>
  <c r="M27" i="63"/>
  <c r="N27" i="63"/>
  <c r="O27" i="63"/>
  <c r="P27" i="63"/>
  <c r="Q27" i="63"/>
  <c r="R27" i="63"/>
  <c r="S27" i="63"/>
  <c r="T27" i="63"/>
  <c r="U27" i="63"/>
  <c r="V27" i="63"/>
  <c r="W27" i="63"/>
  <c r="X27" i="63"/>
  <c r="Y27" i="63"/>
  <c r="Z27" i="63"/>
  <c r="AA27" i="63"/>
  <c r="AB27" i="63"/>
  <c r="AC27" i="63"/>
  <c r="AD27" i="63"/>
  <c r="G28" i="63"/>
  <c r="H28" i="63"/>
  <c r="I28" i="63"/>
  <c r="J28" i="63"/>
  <c r="K28" i="63"/>
  <c r="L28" i="63"/>
  <c r="M28" i="63"/>
  <c r="N28" i="63"/>
  <c r="O28" i="63"/>
  <c r="P28" i="63"/>
  <c r="Q28" i="63"/>
  <c r="R28" i="63"/>
  <c r="S28" i="63"/>
  <c r="T28" i="63"/>
  <c r="U28" i="63"/>
  <c r="V28" i="63"/>
  <c r="W28" i="63"/>
  <c r="X28" i="63"/>
  <c r="Y28" i="63"/>
  <c r="Z28" i="63"/>
  <c r="AA28" i="63"/>
  <c r="AB28" i="63"/>
  <c r="AC28" i="63"/>
  <c r="AD28" i="63"/>
  <c r="G29" i="63"/>
  <c r="H29" i="63"/>
  <c r="I29" i="63"/>
  <c r="J29" i="63"/>
  <c r="K29" i="63"/>
  <c r="L29" i="63"/>
  <c r="M29" i="63"/>
  <c r="N29" i="63"/>
  <c r="O29" i="63"/>
  <c r="P29" i="63"/>
  <c r="Q29" i="63"/>
  <c r="R29" i="63"/>
  <c r="S29" i="63"/>
  <c r="T29" i="63"/>
  <c r="U29" i="63"/>
  <c r="V29" i="63"/>
  <c r="W29" i="63"/>
  <c r="X29" i="63"/>
  <c r="Y29" i="63"/>
  <c r="Z29" i="63"/>
  <c r="AA29" i="63"/>
  <c r="AB29" i="63"/>
  <c r="AC29" i="63"/>
  <c r="AD29" i="63"/>
  <c r="G30" i="63"/>
  <c r="H30" i="63"/>
  <c r="I30" i="63"/>
  <c r="J30" i="63"/>
  <c r="K30" i="63"/>
  <c r="L30" i="63"/>
  <c r="M30" i="63"/>
  <c r="N30" i="63"/>
  <c r="O30" i="63"/>
  <c r="P30" i="63"/>
  <c r="Q30" i="63"/>
  <c r="R30" i="63"/>
  <c r="S30" i="63"/>
  <c r="T30" i="63"/>
  <c r="U30" i="63"/>
  <c r="V30" i="63"/>
  <c r="W30" i="63"/>
  <c r="X30" i="63"/>
  <c r="Y30" i="63"/>
  <c r="Z30" i="63"/>
  <c r="AA30" i="63"/>
  <c r="AB30" i="63"/>
  <c r="AC30" i="63"/>
  <c r="AD30" i="63"/>
  <c r="G31" i="63"/>
  <c r="H31" i="63"/>
  <c r="I31" i="63"/>
  <c r="J31" i="63"/>
  <c r="K31" i="63"/>
  <c r="L31" i="63"/>
  <c r="M31" i="63"/>
  <c r="N31" i="63"/>
  <c r="O31" i="63"/>
  <c r="P31" i="63"/>
  <c r="Q31" i="63"/>
  <c r="R31" i="63"/>
  <c r="S31" i="63"/>
  <c r="T31" i="63"/>
  <c r="U31" i="63"/>
  <c r="V31" i="63"/>
  <c r="W31" i="63"/>
  <c r="X31" i="63"/>
  <c r="Y31" i="63"/>
  <c r="Z31" i="63"/>
  <c r="AA31" i="63"/>
  <c r="AB31" i="63"/>
  <c r="AC31" i="63"/>
  <c r="AD31" i="63"/>
  <c r="G32" i="63"/>
  <c r="H32" i="63"/>
  <c r="I32" i="63"/>
  <c r="J32" i="63"/>
  <c r="K32" i="63"/>
  <c r="L32" i="63"/>
  <c r="M32" i="63"/>
  <c r="N32" i="63"/>
  <c r="O32" i="63"/>
  <c r="P32" i="63"/>
  <c r="Q32" i="63"/>
  <c r="R32" i="63"/>
  <c r="S32" i="63"/>
  <c r="T32" i="63"/>
  <c r="U32" i="63"/>
  <c r="V32" i="63"/>
  <c r="W32" i="63"/>
  <c r="X32" i="63"/>
  <c r="Y32" i="63"/>
  <c r="Z32" i="63"/>
  <c r="AA32" i="63"/>
  <c r="AB32" i="63"/>
  <c r="AC32" i="63"/>
  <c r="AD32" i="63"/>
  <c r="G33" i="63"/>
  <c r="H33" i="63"/>
  <c r="I33" i="63"/>
  <c r="J33" i="63"/>
  <c r="K33" i="63"/>
  <c r="L33" i="63"/>
  <c r="M33" i="63"/>
  <c r="N33" i="63"/>
  <c r="O33" i="63"/>
  <c r="P33" i="63"/>
  <c r="Q33" i="63"/>
  <c r="R33" i="63"/>
  <c r="S33" i="63"/>
  <c r="T33" i="63"/>
  <c r="U33" i="63"/>
  <c r="V33" i="63"/>
  <c r="W33" i="63"/>
  <c r="X33" i="63"/>
  <c r="Y33" i="63"/>
  <c r="Z33" i="63"/>
  <c r="AA33" i="63"/>
  <c r="AB33" i="63"/>
  <c r="AC33" i="63"/>
  <c r="AD33" i="63"/>
  <c r="G34" i="63"/>
  <c r="H34" i="63"/>
  <c r="I34" i="63"/>
  <c r="J34" i="63"/>
  <c r="K34" i="63"/>
  <c r="L34" i="63"/>
  <c r="M34" i="63"/>
  <c r="N34" i="63"/>
  <c r="O34" i="63"/>
  <c r="P34" i="63"/>
  <c r="Q34" i="63"/>
  <c r="R34" i="63"/>
  <c r="S34" i="63"/>
  <c r="T34" i="63"/>
  <c r="U34" i="63"/>
  <c r="V34" i="63"/>
  <c r="W34" i="63"/>
  <c r="X34" i="63"/>
  <c r="Y34" i="63"/>
  <c r="Z34" i="63"/>
  <c r="AA34" i="63"/>
  <c r="AB34" i="63"/>
  <c r="AC34" i="63"/>
  <c r="AD34" i="63"/>
  <c r="G35" i="63"/>
  <c r="H35" i="63"/>
  <c r="I35" i="63"/>
  <c r="J35" i="63"/>
  <c r="K35" i="63"/>
  <c r="L35" i="63"/>
  <c r="M35" i="63"/>
  <c r="N35" i="63"/>
  <c r="O35" i="63"/>
  <c r="P35" i="63"/>
  <c r="Q35" i="63"/>
  <c r="R35" i="63"/>
  <c r="S35" i="63"/>
  <c r="T35" i="63"/>
  <c r="U35" i="63"/>
  <c r="V35" i="63"/>
  <c r="W35" i="63"/>
  <c r="X35" i="63"/>
  <c r="Y35" i="63"/>
  <c r="Z35" i="63"/>
  <c r="AA35" i="63"/>
  <c r="AB35" i="63"/>
  <c r="AC35" i="63"/>
  <c r="AD35" i="63"/>
  <c r="G36" i="63"/>
  <c r="H36" i="63"/>
  <c r="I36" i="63"/>
  <c r="J36" i="63"/>
  <c r="K36" i="63"/>
  <c r="L36" i="63"/>
  <c r="M36" i="63"/>
  <c r="N36" i="63"/>
  <c r="O36" i="63"/>
  <c r="P36" i="63"/>
  <c r="Q36" i="63"/>
  <c r="R36" i="63"/>
  <c r="S36" i="63"/>
  <c r="T36" i="63"/>
  <c r="U36" i="63"/>
  <c r="V36" i="63"/>
  <c r="W36" i="63"/>
  <c r="X36" i="63"/>
  <c r="Y36" i="63"/>
  <c r="Z36" i="63"/>
  <c r="AA36" i="63"/>
  <c r="AB36" i="63"/>
  <c r="AC36" i="63"/>
  <c r="AD36" i="63"/>
  <c r="G37" i="63"/>
  <c r="H37" i="63"/>
  <c r="I37" i="63"/>
  <c r="J37" i="63"/>
  <c r="K37" i="63"/>
  <c r="L37" i="63"/>
  <c r="M37" i="63"/>
  <c r="N37" i="63"/>
  <c r="O37" i="63"/>
  <c r="P37" i="63"/>
  <c r="Q37" i="63"/>
  <c r="R37" i="63"/>
  <c r="S37" i="63"/>
  <c r="T37" i="63"/>
  <c r="U37" i="63"/>
  <c r="V37" i="63"/>
  <c r="W37" i="63"/>
  <c r="X37" i="63"/>
  <c r="Y37" i="63"/>
  <c r="Z37" i="63"/>
  <c r="AA37" i="63"/>
  <c r="AB37" i="63"/>
  <c r="AC37" i="63"/>
  <c r="AD37" i="63"/>
  <c r="G38" i="63"/>
  <c r="H38" i="63"/>
  <c r="I38" i="63"/>
  <c r="J38" i="63"/>
  <c r="K38" i="63"/>
  <c r="L38" i="63"/>
  <c r="M38" i="63"/>
  <c r="N38" i="63"/>
  <c r="O38" i="63"/>
  <c r="P38" i="63"/>
  <c r="Q38" i="63"/>
  <c r="R38" i="63"/>
  <c r="S38" i="63"/>
  <c r="T38" i="63"/>
  <c r="U38" i="63"/>
  <c r="V38" i="63"/>
  <c r="W38" i="63"/>
  <c r="X38" i="63"/>
  <c r="Y38" i="63"/>
  <c r="Z38" i="63"/>
  <c r="AA38" i="63"/>
  <c r="AB38" i="63"/>
  <c r="AC38" i="63"/>
  <c r="AD38" i="63"/>
  <c r="G39" i="63"/>
  <c r="H39" i="63"/>
  <c r="I39" i="63"/>
  <c r="J39" i="63"/>
  <c r="K39" i="63"/>
  <c r="L39" i="63"/>
  <c r="M39" i="63"/>
  <c r="N39" i="63"/>
  <c r="O39" i="63"/>
  <c r="P39" i="63"/>
  <c r="Q39" i="63"/>
  <c r="R39" i="63"/>
  <c r="S39" i="63"/>
  <c r="T39" i="63"/>
  <c r="U39" i="63"/>
  <c r="V39" i="63"/>
  <c r="W39" i="63"/>
  <c r="X39" i="63"/>
  <c r="Y39" i="63"/>
  <c r="Z39" i="63"/>
  <c r="AA39" i="63"/>
  <c r="AB39" i="63"/>
  <c r="AC39" i="63"/>
  <c r="AD39" i="63"/>
  <c r="G40" i="63"/>
  <c r="H40" i="63"/>
  <c r="I40" i="63"/>
  <c r="J40" i="63"/>
  <c r="K40" i="63"/>
  <c r="L40" i="63"/>
  <c r="M40" i="63"/>
  <c r="N40" i="63"/>
  <c r="O40" i="63"/>
  <c r="P40" i="63"/>
  <c r="Q40" i="63"/>
  <c r="R40" i="63"/>
  <c r="S40" i="63"/>
  <c r="T40" i="63"/>
  <c r="U40" i="63"/>
  <c r="V40" i="63"/>
  <c r="W40" i="63"/>
  <c r="X40" i="63"/>
  <c r="Y40" i="63"/>
  <c r="Z40" i="63"/>
  <c r="AA40" i="63"/>
  <c r="AB40" i="63"/>
  <c r="AC40" i="63"/>
  <c r="AD40" i="63"/>
  <c r="G41" i="63"/>
  <c r="H41" i="63"/>
  <c r="I41" i="63"/>
  <c r="J41" i="63"/>
  <c r="K41" i="63"/>
  <c r="L41" i="63"/>
  <c r="M41" i="63"/>
  <c r="N41" i="63"/>
  <c r="O41" i="63"/>
  <c r="P41" i="63"/>
  <c r="Q41" i="63"/>
  <c r="R41" i="63"/>
  <c r="S41" i="63"/>
  <c r="T41" i="63"/>
  <c r="U41" i="63"/>
  <c r="V41" i="63"/>
  <c r="W41" i="63"/>
  <c r="X41" i="63"/>
  <c r="Y41" i="63"/>
  <c r="Z41" i="63"/>
  <c r="AA41" i="63"/>
  <c r="AB41" i="63"/>
  <c r="AC41" i="63"/>
  <c r="AD41" i="63"/>
  <c r="G42" i="63"/>
  <c r="H42" i="63"/>
  <c r="I42" i="63"/>
  <c r="J42" i="63"/>
  <c r="K42" i="63"/>
  <c r="L42" i="63"/>
  <c r="M42" i="63"/>
  <c r="N42" i="63"/>
  <c r="O42" i="63"/>
  <c r="P42" i="63"/>
  <c r="Q42" i="63"/>
  <c r="R42" i="63"/>
  <c r="S42" i="63"/>
  <c r="T42" i="63"/>
  <c r="U42" i="63"/>
  <c r="V42" i="63"/>
  <c r="W42" i="63"/>
  <c r="X42" i="63"/>
  <c r="Y42" i="63"/>
  <c r="Z42" i="63"/>
  <c r="AA42" i="63"/>
  <c r="AB42" i="63"/>
  <c r="AC42" i="63"/>
  <c r="AD42" i="63"/>
  <c r="G43" i="63"/>
  <c r="H43" i="63"/>
  <c r="I43" i="63"/>
  <c r="J43" i="63"/>
  <c r="K43" i="63"/>
  <c r="L43" i="63"/>
  <c r="M43" i="63"/>
  <c r="N43" i="63"/>
  <c r="O43" i="63"/>
  <c r="P43" i="63"/>
  <c r="Q43" i="63"/>
  <c r="R43" i="63"/>
  <c r="S43" i="63"/>
  <c r="T43" i="63"/>
  <c r="U43" i="63"/>
  <c r="V43" i="63"/>
  <c r="W43" i="63"/>
  <c r="X43" i="63"/>
  <c r="Y43" i="63"/>
  <c r="Z43" i="63"/>
  <c r="AA43" i="63"/>
  <c r="AB43" i="63"/>
  <c r="AC43" i="63"/>
  <c r="AD43" i="63"/>
  <c r="G44" i="63"/>
  <c r="H44" i="63"/>
  <c r="I44" i="63"/>
  <c r="J44" i="63"/>
  <c r="K44" i="63"/>
  <c r="L44" i="63"/>
  <c r="M44" i="63"/>
  <c r="N44" i="63"/>
  <c r="O44" i="63"/>
  <c r="P44" i="63"/>
  <c r="Q44" i="63"/>
  <c r="R44" i="63"/>
  <c r="S44" i="63"/>
  <c r="T44" i="63"/>
  <c r="U44" i="63"/>
  <c r="V44" i="63"/>
  <c r="W44" i="63"/>
  <c r="X44" i="63"/>
  <c r="Y44" i="63"/>
  <c r="Z44" i="63"/>
  <c r="AA44" i="63"/>
  <c r="AB44" i="63"/>
  <c r="AC44" i="63"/>
  <c r="AD44" i="63"/>
  <c r="G45" i="63"/>
  <c r="H45" i="63"/>
  <c r="I45" i="63"/>
  <c r="J45" i="63"/>
  <c r="K45" i="63"/>
  <c r="L45" i="63"/>
  <c r="M45" i="63"/>
  <c r="N45" i="63"/>
  <c r="O45" i="63"/>
  <c r="P45" i="63"/>
  <c r="Q45" i="63"/>
  <c r="R45" i="63"/>
  <c r="S45" i="63"/>
  <c r="T45" i="63"/>
  <c r="U45" i="63"/>
  <c r="V45" i="63"/>
  <c r="W45" i="63"/>
  <c r="X45" i="63"/>
  <c r="Y45" i="63"/>
  <c r="Z45" i="63"/>
  <c r="AA45" i="63"/>
  <c r="AB45" i="63"/>
  <c r="AC45" i="63"/>
  <c r="AD45" i="63"/>
  <c r="G46" i="63"/>
  <c r="H46" i="63"/>
  <c r="I46" i="63"/>
  <c r="J46" i="63"/>
  <c r="K46" i="63"/>
  <c r="L46" i="63"/>
  <c r="M46" i="63"/>
  <c r="N46" i="63"/>
  <c r="O46" i="63"/>
  <c r="P46" i="63"/>
  <c r="Q46" i="63"/>
  <c r="R46" i="63"/>
  <c r="S46" i="63"/>
  <c r="T46" i="63"/>
  <c r="U46" i="63"/>
  <c r="V46" i="63"/>
  <c r="W46" i="63"/>
  <c r="X46" i="63"/>
  <c r="Y46" i="63"/>
  <c r="Z46" i="63"/>
  <c r="AA46" i="63"/>
  <c r="AB46" i="63"/>
  <c r="AC46" i="63"/>
  <c r="AD46" i="63"/>
  <c r="G47" i="63"/>
  <c r="H47" i="63"/>
  <c r="I47" i="63"/>
  <c r="J47" i="63"/>
  <c r="K47" i="63"/>
  <c r="L47" i="63"/>
  <c r="M47" i="63"/>
  <c r="N47" i="63"/>
  <c r="O47" i="63"/>
  <c r="P47" i="63"/>
  <c r="Q47" i="63"/>
  <c r="R47" i="63"/>
  <c r="S47" i="63"/>
  <c r="T47" i="63"/>
  <c r="U47" i="63"/>
  <c r="V47" i="63"/>
  <c r="W47" i="63"/>
  <c r="X47" i="63"/>
  <c r="Y47" i="63"/>
  <c r="Z47" i="63"/>
  <c r="AA47" i="63"/>
  <c r="AB47" i="63"/>
  <c r="AC47" i="63"/>
  <c r="AD47" i="63"/>
  <c r="G48" i="63"/>
  <c r="H48" i="63"/>
  <c r="I48" i="63"/>
  <c r="J48" i="63"/>
  <c r="K48" i="63"/>
  <c r="L48" i="63"/>
  <c r="M48" i="63"/>
  <c r="N48" i="63"/>
  <c r="O48" i="63"/>
  <c r="P48" i="63"/>
  <c r="Q48" i="63"/>
  <c r="R48" i="63"/>
  <c r="S48" i="63"/>
  <c r="T48" i="63"/>
  <c r="U48" i="63"/>
  <c r="V48" i="63"/>
  <c r="W48" i="63"/>
  <c r="X48" i="63"/>
  <c r="Y48" i="63"/>
  <c r="Z48" i="63"/>
  <c r="AA48" i="63"/>
  <c r="AB48" i="63"/>
  <c r="AC48" i="63"/>
  <c r="AD48" i="63"/>
  <c r="E7" i="63"/>
  <c r="F7" i="63"/>
  <c r="E8" i="63"/>
  <c r="F8" i="63"/>
  <c r="E9" i="63"/>
  <c r="F9" i="63"/>
  <c r="E10" i="63"/>
  <c r="F10" i="63"/>
  <c r="E11" i="63"/>
  <c r="F11" i="63"/>
  <c r="E12" i="63"/>
  <c r="F12" i="63"/>
  <c r="E13" i="63"/>
  <c r="F13" i="63"/>
  <c r="E14" i="63"/>
  <c r="F14" i="63"/>
  <c r="E15" i="63"/>
  <c r="F15" i="63"/>
  <c r="E16" i="63"/>
  <c r="F16" i="63"/>
  <c r="E17" i="63"/>
  <c r="F17" i="63"/>
  <c r="E18" i="63"/>
  <c r="F18" i="63"/>
  <c r="E19" i="63"/>
  <c r="F19" i="63"/>
  <c r="E20" i="63"/>
  <c r="F20" i="63"/>
  <c r="E21" i="63"/>
  <c r="F21" i="63"/>
  <c r="E22" i="63"/>
  <c r="F22" i="63"/>
  <c r="E23" i="63"/>
  <c r="F23" i="63"/>
  <c r="E24" i="63"/>
  <c r="F24" i="63"/>
  <c r="E25" i="63"/>
  <c r="F25" i="63"/>
  <c r="E26" i="63"/>
  <c r="F26" i="63"/>
  <c r="E27" i="63"/>
  <c r="F27" i="63"/>
  <c r="E28" i="63"/>
  <c r="F28" i="63"/>
  <c r="E29" i="63"/>
  <c r="F29" i="63"/>
  <c r="E30" i="63"/>
  <c r="F30" i="63"/>
  <c r="E31" i="63"/>
  <c r="F31" i="63"/>
  <c r="E32" i="63"/>
  <c r="F32" i="63"/>
  <c r="E33" i="63"/>
  <c r="F33" i="63"/>
  <c r="E34" i="63"/>
  <c r="F34" i="63"/>
  <c r="E35" i="63"/>
  <c r="F35" i="63"/>
  <c r="E36" i="63"/>
  <c r="F36" i="63"/>
  <c r="E37" i="63"/>
  <c r="F37" i="63"/>
  <c r="E38" i="63"/>
  <c r="F38" i="63"/>
  <c r="E39" i="63"/>
  <c r="F39" i="63"/>
  <c r="E40" i="63"/>
  <c r="F40" i="63"/>
  <c r="E41" i="63"/>
  <c r="F41" i="63"/>
  <c r="E42" i="63"/>
  <c r="F42" i="63"/>
  <c r="E43" i="63"/>
  <c r="F43" i="63"/>
  <c r="E44" i="63"/>
  <c r="F44" i="63"/>
  <c r="E45" i="63"/>
  <c r="F45" i="63"/>
  <c r="E46" i="63"/>
  <c r="F46" i="63"/>
  <c r="E47" i="63"/>
  <c r="F47" i="63"/>
  <c r="E48" i="63"/>
  <c r="F48" i="63"/>
  <c r="E5" i="63"/>
  <c r="F5" i="63"/>
  <c r="F6" i="63"/>
  <c r="E6" i="63"/>
  <c r="S36" i="59"/>
  <c r="AD47" i="60"/>
  <c r="AE47" i="60"/>
  <c r="AE23" i="60"/>
  <c r="AD23" i="60"/>
  <c r="S36" i="60"/>
  <c r="AA31" i="62"/>
  <c r="AD23" i="59"/>
  <c r="AE23" i="59"/>
  <c r="B57" i="63" l="1"/>
  <c r="B55" i="63"/>
  <c r="B60" i="63"/>
  <c r="B58" i="63"/>
  <c r="B56" i="63"/>
  <c r="B61" i="63"/>
  <c r="B59" i="63"/>
  <c r="B63" i="63"/>
  <c r="C50" i="63"/>
  <c r="C49" i="63"/>
  <c r="B64" i="63"/>
  <c r="B62" i="63"/>
  <c r="D50" i="63"/>
  <c r="D49" i="63"/>
  <c r="G49" i="64"/>
  <c r="E49" i="64"/>
  <c r="F48" i="64"/>
  <c r="G46" i="64"/>
  <c r="E46" i="64"/>
  <c r="F45" i="64"/>
  <c r="G38" i="64"/>
  <c r="E38" i="64"/>
  <c r="F37" i="64"/>
  <c r="G32" i="64"/>
  <c r="F26" i="64"/>
  <c r="G25" i="64"/>
  <c r="E25" i="64"/>
  <c r="F24" i="64"/>
  <c r="G23" i="64"/>
  <c r="E23" i="64"/>
  <c r="F22" i="64"/>
  <c r="F20" i="64"/>
  <c r="G19" i="64"/>
  <c r="E19" i="64"/>
  <c r="G50" i="64"/>
  <c r="E50" i="64"/>
  <c r="F49" i="64"/>
  <c r="G48" i="64"/>
  <c r="E48" i="64"/>
  <c r="F46" i="64"/>
  <c r="G44" i="64"/>
  <c r="E44" i="64"/>
  <c r="E43" i="64"/>
  <c r="F42" i="64"/>
  <c r="F41" i="64"/>
  <c r="F40" i="64"/>
  <c r="G39" i="64"/>
  <c r="E39" i="64"/>
  <c r="F38" i="64"/>
  <c r="G37" i="64"/>
  <c r="E37" i="64"/>
  <c r="F35" i="64"/>
  <c r="G33" i="64"/>
  <c r="E33" i="64"/>
  <c r="F32" i="64"/>
  <c r="G29" i="64"/>
  <c r="E29" i="64"/>
  <c r="G27" i="64"/>
  <c r="E27" i="64"/>
  <c r="G26" i="64"/>
  <c r="E26" i="64"/>
  <c r="F25" i="64"/>
  <c r="G24" i="64"/>
  <c r="E24" i="64"/>
  <c r="F23" i="64"/>
  <c r="G22" i="64"/>
  <c r="E22" i="64"/>
  <c r="G20" i="64"/>
  <c r="E20" i="64"/>
  <c r="F19" i="64"/>
  <c r="G18" i="64"/>
  <c r="E18" i="64"/>
  <c r="F17" i="64"/>
  <c r="G16" i="64"/>
  <c r="E16" i="64"/>
  <c r="F15" i="64"/>
  <c r="G14" i="64"/>
  <c r="E14" i="64"/>
  <c r="F13" i="64"/>
  <c r="G12" i="64"/>
  <c r="E12" i="64"/>
  <c r="F11" i="64"/>
  <c r="G10" i="64"/>
  <c r="E10" i="64"/>
  <c r="F9" i="64"/>
  <c r="G8" i="64"/>
  <c r="E8" i="64"/>
  <c r="G6" i="64"/>
  <c r="E6" i="64"/>
  <c r="F5" i="64"/>
  <c r="G45" i="64"/>
  <c r="E45" i="64"/>
  <c r="F44" i="64"/>
  <c r="G43" i="64"/>
  <c r="F43" i="64"/>
  <c r="G42" i="64"/>
  <c r="E42" i="64"/>
  <c r="G41" i="64"/>
  <c r="E41" i="64"/>
  <c r="G40" i="64"/>
  <c r="E40" i="64"/>
  <c r="F39" i="64"/>
  <c r="G35" i="64"/>
  <c r="E35" i="64"/>
  <c r="F33" i="64"/>
  <c r="E32" i="64"/>
  <c r="F29" i="64"/>
  <c r="F18" i="64"/>
  <c r="G17" i="64"/>
  <c r="E17" i="64"/>
  <c r="F16" i="64"/>
  <c r="G15" i="64"/>
  <c r="E15" i="64"/>
  <c r="F14" i="64"/>
  <c r="G13" i="64"/>
  <c r="E13" i="64"/>
  <c r="F12" i="64"/>
  <c r="G11" i="64"/>
  <c r="E11" i="64"/>
  <c r="F10" i="64"/>
  <c r="G9" i="64"/>
  <c r="E9" i="64"/>
  <c r="F8" i="64"/>
  <c r="F6" i="64"/>
  <c r="G5" i="64"/>
  <c r="E5" i="64"/>
  <c r="C25" i="64"/>
  <c r="C23" i="64"/>
  <c r="C49" i="64"/>
  <c r="C45" i="64"/>
  <c r="F50" i="64"/>
  <c r="C6" i="64"/>
  <c r="C26" i="64"/>
  <c r="C39" i="64"/>
  <c r="C40" i="64"/>
  <c r="F27" i="64"/>
  <c r="B50" i="63"/>
  <c r="B50" i="64" s="1"/>
  <c r="B49" i="63"/>
  <c r="B49" i="64" s="1"/>
  <c r="AD39" i="61"/>
  <c r="AD40" i="61"/>
  <c r="AD41" i="61"/>
  <c r="AD42" i="61"/>
  <c r="AD43" i="61"/>
  <c r="AD44" i="61"/>
  <c r="AD45" i="61"/>
  <c r="AD46" i="61"/>
  <c r="AD47" i="61"/>
  <c r="AE47" i="61"/>
  <c r="AE23" i="61"/>
  <c r="S36" i="61"/>
  <c r="S39" i="62"/>
  <c r="S40" i="62"/>
  <c r="S41" i="62"/>
  <c r="S42" i="62"/>
  <c r="S43" i="62"/>
  <c r="S44" i="62"/>
  <c r="S45" i="62"/>
  <c r="S46" i="62"/>
  <c r="S47" i="62"/>
  <c r="S9" i="62"/>
  <c r="S10" i="62"/>
  <c r="S11" i="62"/>
  <c r="S12" i="62"/>
  <c r="S13" i="62"/>
  <c r="S14" i="62"/>
  <c r="S15" i="62"/>
  <c r="S16" i="62"/>
  <c r="S17" i="62"/>
  <c r="S18" i="62"/>
  <c r="S19" i="62"/>
  <c r="S20" i="62"/>
  <c r="S21" i="62"/>
  <c r="S22" i="62"/>
  <c r="S23" i="62"/>
  <c r="S24" i="62"/>
  <c r="S25" i="62"/>
  <c r="S26" i="62"/>
  <c r="S27" i="62"/>
  <c r="S28" i="62"/>
  <c r="S29" i="62"/>
  <c r="S30" i="62"/>
  <c r="S31" i="62"/>
  <c r="S32" i="62"/>
  <c r="S33" i="62"/>
  <c r="S34" i="62"/>
  <c r="S35" i="62"/>
  <c r="S36" i="62"/>
  <c r="AD31" i="58"/>
  <c r="AD29" i="58"/>
  <c r="AE23" i="58"/>
  <c r="AD23" i="58"/>
  <c r="C43" i="64" l="1"/>
  <c r="J25" i="57"/>
  <c r="AD23" i="57"/>
  <c r="AD11" i="57"/>
  <c r="AD26" i="57"/>
  <c r="AD24" i="57"/>
  <c r="AD19" i="57"/>
  <c r="AD15" i="57"/>
  <c r="AD13" i="57"/>
  <c r="AD9" i="57"/>
  <c r="AD8" i="57"/>
  <c r="Z26" i="57"/>
  <c r="Z24" i="57"/>
  <c r="Z23" i="57"/>
  <c r="Z22" i="57"/>
  <c r="Z19" i="57"/>
  <c r="Z17" i="57"/>
  <c r="Z16" i="57"/>
  <c r="Z15" i="57"/>
  <c r="Z13" i="57"/>
  <c r="Z12" i="57"/>
  <c r="Z11" i="57"/>
  <c r="Z9" i="57"/>
  <c r="Z8" i="57"/>
  <c r="V26" i="57"/>
  <c r="V25" i="57"/>
  <c r="V24" i="57"/>
  <c r="V23" i="57"/>
  <c r="V22" i="57"/>
  <c r="V20" i="57"/>
  <c r="V19" i="57"/>
  <c r="V17" i="57"/>
  <c r="V16" i="57"/>
  <c r="V15" i="57"/>
  <c r="V13" i="57"/>
  <c r="V12" i="57"/>
  <c r="V11" i="57"/>
  <c r="V9" i="57"/>
  <c r="V8" i="57"/>
  <c r="R26" i="57"/>
  <c r="R25" i="57"/>
  <c r="R24" i="57"/>
  <c r="R23" i="57"/>
  <c r="R22" i="57"/>
  <c r="R20" i="57"/>
  <c r="R19" i="57"/>
  <c r="R17" i="57"/>
  <c r="R16" i="57"/>
  <c r="R15" i="57"/>
  <c r="R13" i="57"/>
  <c r="R12" i="57"/>
  <c r="R11" i="57"/>
  <c r="R9" i="57"/>
  <c r="R8" i="57"/>
  <c r="J26" i="57"/>
  <c r="J24" i="57"/>
  <c r="J23" i="57"/>
  <c r="J22" i="57"/>
  <c r="J20" i="57"/>
  <c r="J19" i="57"/>
  <c r="J17" i="57"/>
  <c r="J16" i="57"/>
  <c r="J15" i="57"/>
  <c r="J13" i="57"/>
  <c r="J12" i="57"/>
  <c r="J11" i="57"/>
  <c r="J9" i="57"/>
  <c r="J8" i="57"/>
  <c r="F26" i="57"/>
  <c r="F25" i="57"/>
  <c r="F24" i="57"/>
  <c r="F23" i="57"/>
  <c r="F22" i="57"/>
  <c r="F20" i="57"/>
  <c r="F19" i="57"/>
  <c r="F17" i="57"/>
  <c r="F16" i="57"/>
  <c r="F15" i="57"/>
  <c r="F13" i="57"/>
  <c r="F12" i="57"/>
  <c r="F11" i="57"/>
  <c r="F9" i="57"/>
  <c r="F8" i="57"/>
  <c r="AJ16" i="57"/>
  <c r="AJ17" i="57"/>
  <c r="AI13" i="57"/>
  <c r="AI23" i="57"/>
  <c r="AI25" i="57"/>
  <c r="AK15" i="57" l="1"/>
  <c r="AK11" i="57"/>
  <c r="AF27" i="57"/>
  <c r="AF28" i="57" s="1"/>
  <c r="T11" i="56"/>
  <c r="T41" i="56"/>
  <c r="T36" i="56"/>
  <c r="T30" i="56"/>
  <c r="T31" i="56"/>
  <c r="T19" i="56"/>
  <c r="T16" i="56"/>
  <c r="T15" i="56"/>
  <c r="H42" i="56"/>
  <c r="I42" i="56"/>
  <c r="J42" i="56"/>
  <c r="L42" i="56"/>
  <c r="M42" i="56"/>
  <c r="N42" i="56"/>
  <c r="P42" i="56"/>
  <c r="Q42" i="56"/>
  <c r="R42" i="56"/>
  <c r="E42" i="56"/>
  <c r="D42" i="56"/>
  <c r="Z17" i="50" l="1"/>
  <c r="AB15" i="50" l="1"/>
  <c r="AB16" i="50"/>
  <c r="AB19" i="50"/>
  <c r="AB20" i="50"/>
  <c r="AB35" i="50"/>
  <c r="AB41" i="50"/>
  <c r="AB29" i="50" l="1"/>
  <c r="AB12" i="50"/>
  <c r="E12" i="45" l="1"/>
  <c r="N12" i="45" s="1"/>
  <c r="E13" i="45"/>
  <c r="E14" i="45"/>
  <c r="E16" i="45"/>
  <c r="N16" i="45" s="1"/>
  <c r="E17" i="45"/>
  <c r="J17" i="45" s="1"/>
  <c r="E18" i="45"/>
  <c r="E19" i="45"/>
  <c r="E22" i="45"/>
  <c r="J22" i="45" s="1"/>
  <c r="E23" i="45"/>
  <c r="V23" i="45" s="1"/>
  <c r="E24" i="45"/>
  <c r="J24" i="45" s="1"/>
  <c r="E25" i="45"/>
  <c r="E27" i="45"/>
  <c r="V27" i="45" s="1"/>
  <c r="E28" i="45"/>
  <c r="R28" i="45" s="1"/>
  <c r="E29" i="45"/>
  <c r="R29" i="45" s="1"/>
  <c r="E30" i="45"/>
  <c r="E31" i="45"/>
  <c r="V31" i="45" s="1"/>
  <c r="E32" i="45"/>
  <c r="R32" i="45" s="1"/>
  <c r="E33" i="45"/>
  <c r="F23" i="68"/>
  <c r="V21" i="56"/>
  <c r="A3" i="98"/>
  <c r="C10" i="98"/>
  <c r="H10" i="98"/>
  <c r="C11" i="98"/>
  <c r="H11" i="98"/>
  <c r="P11" i="98" s="1"/>
  <c r="C12" i="98"/>
  <c r="H12" i="98"/>
  <c r="P12" i="98" s="1"/>
  <c r="C13" i="98"/>
  <c r="H13" i="98"/>
  <c r="P13" i="98"/>
  <c r="G13" i="93" s="1"/>
  <c r="C14" i="98"/>
  <c r="H14" i="98"/>
  <c r="C15" i="98"/>
  <c r="H15" i="98"/>
  <c r="C16" i="98"/>
  <c r="P16" i="98" s="1"/>
  <c r="G16" i="93" s="1"/>
  <c r="H16" i="98"/>
  <c r="C17" i="98"/>
  <c r="H17" i="98"/>
  <c r="P17" i="98" s="1"/>
  <c r="G17" i="93" s="1"/>
  <c r="C18" i="98"/>
  <c r="H18" i="98"/>
  <c r="P18" i="98"/>
  <c r="G18" i="93" s="1"/>
  <c r="C19" i="98"/>
  <c r="H19" i="98"/>
  <c r="P19" i="98"/>
  <c r="G19" i="93" s="1"/>
  <c r="C20" i="98"/>
  <c r="P20" i="98" s="1"/>
  <c r="G20" i="93" s="1"/>
  <c r="H20" i="98"/>
  <c r="C21" i="98"/>
  <c r="H21" i="98"/>
  <c r="P21" i="98" s="1"/>
  <c r="C22" i="98"/>
  <c r="H22" i="98"/>
  <c r="P22" i="98" s="1"/>
  <c r="G22" i="93" s="1"/>
  <c r="C23" i="98"/>
  <c r="H23" i="98"/>
  <c r="P23" i="98"/>
  <c r="G23" i="93" s="1"/>
  <c r="C24" i="98"/>
  <c r="P24" i="98" s="1"/>
  <c r="H24" i="98"/>
  <c r="C25" i="98"/>
  <c r="H25" i="98"/>
  <c r="P25" i="98" s="1"/>
  <c r="G25" i="93" s="1"/>
  <c r="C26" i="98"/>
  <c r="H26" i="98"/>
  <c r="P26" i="98" s="1"/>
  <c r="G26" i="93" s="1"/>
  <c r="C27" i="98"/>
  <c r="H27" i="98"/>
  <c r="D28" i="98"/>
  <c r="E28" i="98"/>
  <c r="F28" i="98"/>
  <c r="G28" i="98"/>
  <c r="I28" i="98"/>
  <c r="J28" i="98"/>
  <c r="K28" i="98"/>
  <c r="L28" i="98"/>
  <c r="M28" i="98"/>
  <c r="N28" i="98"/>
  <c r="O28" i="98"/>
  <c r="M39" i="98"/>
  <c r="M40" i="98"/>
  <c r="M41" i="98"/>
  <c r="M42" i="98"/>
  <c r="M43" i="98"/>
  <c r="M44" i="98"/>
  <c r="M45" i="98"/>
  <c r="M46" i="98"/>
  <c r="M47" i="98"/>
  <c r="M48" i="98"/>
  <c r="M49" i="98"/>
  <c r="M50" i="98"/>
  <c r="M51" i="98"/>
  <c r="M52" i="98"/>
  <c r="M53" i="98"/>
  <c r="M54" i="98"/>
  <c r="M55" i="98"/>
  <c r="M56" i="98"/>
  <c r="C57" i="98"/>
  <c r="D57" i="98"/>
  <c r="E57" i="98"/>
  <c r="F57" i="98"/>
  <c r="G57" i="98"/>
  <c r="H57" i="98"/>
  <c r="I57" i="98"/>
  <c r="J57" i="98"/>
  <c r="K57" i="98"/>
  <c r="L57" i="98"/>
  <c r="A3" i="97"/>
  <c r="C10" i="97"/>
  <c r="H10" i="97"/>
  <c r="P10" i="97" s="1"/>
  <c r="C11" i="97"/>
  <c r="H11" i="97"/>
  <c r="P11" i="97" s="1"/>
  <c r="F11" i="93" s="1"/>
  <c r="C12" i="97"/>
  <c r="H12" i="97"/>
  <c r="P12" i="97" s="1"/>
  <c r="F12" i="93" s="1"/>
  <c r="C13" i="97"/>
  <c r="H13" i="97"/>
  <c r="C14" i="97"/>
  <c r="H14" i="97"/>
  <c r="C15" i="97"/>
  <c r="H15" i="97"/>
  <c r="C16" i="97"/>
  <c r="H16" i="97"/>
  <c r="C17" i="97"/>
  <c r="H17" i="97"/>
  <c r="C18" i="97"/>
  <c r="H18" i="97"/>
  <c r="C19" i="97"/>
  <c r="H19" i="97"/>
  <c r="C20" i="97"/>
  <c r="H20" i="97"/>
  <c r="C21" i="97"/>
  <c r="H21" i="97"/>
  <c r="C22" i="97"/>
  <c r="H22" i="97"/>
  <c r="C23" i="97"/>
  <c r="H23" i="97"/>
  <c r="P23" i="97" s="1"/>
  <c r="F23" i="93" s="1"/>
  <c r="C24" i="97"/>
  <c r="H24" i="97"/>
  <c r="P24" i="97" s="1"/>
  <c r="F24" i="93" s="1"/>
  <c r="C25" i="97"/>
  <c r="H25" i="97"/>
  <c r="P25" i="97" s="1"/>
  <c r="F25" i="93" s="1"/>
  <c r="C26" i="97"/>
  <c r="H26" i="97"/>
  <c r="C27" i="97"/>
  <c r="H27" i="97"/>
  <c r="C28" i="97"/>
  <c r="D28" i="97"/>
  <c r="E28" i="97"/>
  <c r="F28" i="97"/>
  <c r="G28" i="97"/>
  <c r="I28" i="97"/>
  <c r="J28" i="97"/>
  <c r="K28" i="97"/>
  <c r="L28" i="97"/>
  <c r="M28" i="97"/>
  <c r="N28" i="97"/>
  <c r="O28" i="97"/>
  <c r="A35" i="97"/>
  <c r="M42" i="97"/>
  <c r="M43" i="97"/>
  <c r="M44" i="97"/>
  <c r="M45" i="97"/>
  <c r="M46" i="97"/>
  <c r="M47" i="97"/>
  <c r="M48" i="97"/>
  <c r="M49" i="97"/>
  <c r="M50" i="97"/>
  <c r="M51" i="97"/>
  <c r="M52" i="97"/>
  <c r="M53" i="97"/>
  <c r="M54" i="97"/>
  <c r="M55" i="97"/>
  <c r="M56" i="97"/>
  <c r="M57" i="97"/>
  <c r="M58" i="97"/>
  <c r="M59" i="97"/>
  <c r="C60" i="97"/>
  <c r="D60" i="97"/>
  <c r="E60" i="97"/>
  <c r="F60" i="97"/>
  <c r="G60" i="97"/>
  <c r="H60" i="97"/>
  <c r="I60" i="97"/>
  <c r="J60" i="97"/>
  <c r="K60" i="97"/>
  <c r="L60" i="97"/>
  <c r="A3" i="96"/>
  <c r="C10" i="96"/>
  <c r="H10" i="96"/>
  <c r="P10" i="96" s="1"/>
  <c r="C11" i="96"/>
  <c r="H11" i="96"/>
  <c r="C12" i="96"/>
  <c r="H12" i="96"/>
  <c r="P12" i="96" s="1"/>
  <c r="E12" i="93" s="1"/>
  <c r="C13" i="96"/>
  <c r="H13" i="96"/>
  <c r="C14" i="96"/>
  <c r="H14" i="96"/>
  <c r="C15" i="96"/>
  <c r="H15" i="96"/>
  <c r="C16" i="96"/>
  <c r="H16" i="96"/>
  <c r="P16" i="96" s="1"/>
  <c r="E16" i="93" s="1"/>
  <c r="C17" i="96"/>
  <c r="H17" i="96"/>
  <c r="C18" i="96"/>
  <c r="H18" i="96"/>
  <c r="P18" i="96" s="1"/>
  <c r="E18" i="93" s="1"/>
  <c r="C19" i="96"/>
  <c r="H19" i="96"/>
  <c r="C20" i="96"/>
  <c r="H20" i="96"/>
  <c r="P20" i="96" s="1"/>
  <c r="E20" i="93" s="1"/>
  <c r="C21" i="96"/>
  <c r="H21" i="96"/>
  <c r="C22" i="96"/>
  <c r="H22" i="96"/>
  <c r="P22" i="96" s="1"/>
  <c r="E22" i="93" s="1"/>
  <c r="C23" i="96"/>
  <c r="H23" i="96"/>
  <c r="C24" i="96"/>
  <c r="H24" i="96"/>
  <c r="P24" i="96" s="1"/>
  <c r="E24" i="93" s="1"/>
  <c r="C25" i="96"/>
  <c r="H25" i="96"/>
  <c r="C26" i="96"/>
  <c r="H26" i="96"/>
  <c r="C27" i="96"/>
  <c r="H27" i="96"/>
  <c r="D28" i="96"/>
  <c r="E28" i="96"/>
  <c r="F28" i="96"/>
  <c r="G28" i="96"/>
  <c r="I28" i="96"/>
  <c r="J28" i="96"/>
  <c r="K28" i="96"/>
  <c r="L28" i="96"/>
  <c r="M28" i="96"/>
  <c r="N28" i="96"/>
  <c r="O28" i="96"/>
  <c r="A35" i="96"/>
  <c r="M42" i="96"/>
  <c r="M43" i="96"/>
  <c r="M44" i="96"/>
  <c r="M45" i="96"/>
  <c r="M46" i="96"/>
  <c r="M47" i="96"/>
  <c r="M48" i="96"/>
  <c r="M49" i="96"/>
  <c r="M50" i="96"/>
  <c r="M51" i="96"/>
  <c r="M52" i="96"/>
  <c r="M53" i="96"/>
  <c r="M54" i="96"/>
  <c r="M55" i="96"/>
  <c r="M56" i="96"/>
  <c r="M57" i="96"/>
  <c r="M58" i="96"/>
  <c r="M59" i="96"/>
  <c r="M59" i="92" s="1"/>
  <c r="C60" i="96"/>
  <c r="D60" i="96"/>
  <c r="E60" i="96"/>
  <c r="F60" i="96"/>
  <c r="G60" i="96"/>
  <c r="H60" i="96"/>
  <c r="I60" i="96"/>
  <c r="J60" i="96"/>
  <c r="K60" i="96"/>
  <c r="L60" i="96"/>
  <c r="A3" i="95"/>
  <c r="A34" i="95" s="1"/>
  <c r="C10" i="95"/>
  <c r="H10" i="95"/>
  <c r="C11" i="95"/>
  <c r="H11" i="95"/>
  <c r="C12" i="95"/>
  <c r="H12" i="95"/>
  <c r="C13" i="95"/>
  <c r="H13" i="95"/>
  <c r="C14" i="95"/>
  <c r="H14" i="95"/>
  <c r="C15" i="95"/>
  <c r="H15" i="95"/>
  <c r="C16" i="95"/>
  <c r="H16" i="95"/>
  <c r="C17" i="95"/>
  <c r="H17" i="95"/>
  <c r="P17" i="95" s="1"/>
  <c r="D17" i="93" s="1"/>
  <c r="C18" i="95"/>
  <c r="H18" i="95"/>
  <c r="C19" i="95"/>
  <c r="H19" i="95"/>
  <c r="C20" i="95"/>
  <c r="H20" i="95"/>
  <c r="C21" i="95"/>
  <c r="H21" i="95"/>
  <c r="C22" i="95"/>
  <c r="H22" i="95"/>
  <c r="C23" i="95"/>
  <c r="H23" i="95"/>
  <c r="C24" i="95"/>
  <c r="H24" i="95"/>
  <c r="C25" i="95"/>
  <c r="H25" i="95"/>
  <c r="C26" i="95"/>
  <c r="H26" i="95"/>
  <c r="C27" i="95"/>
  <c r="H27" i="95"/>
  <c r="D28" i="95"/>
  <c r="E28" i="95"/>
  <c r="F28" i="95"/>
  <c r="G28" i="95"/>
  <c r="I28" i="95"/>
  <c r="J28" i="95"/>
  <c r="K28" i="95"/>
  <c r="L28" i="95"/>
  <c r="M28" i="95"/>
  <c r="N28" i="95"/>
  <c r="O28" i="95"/>
  <c r="M41" i="95"/>
  <c r="M42" i="95"/>
  <c r="M43" i="92" s="1"/>
  <c r="M43" i="95"/>
  <c r="M44" i="95"/>
  <c r="M45" i="95"/>
  <c r="M46" i="92" s="1"/>
  <c r="M46" i="95"/>
  <c r="M47" i="95"/>
  <c r="M48" i="95"/>
  <c r="M49" i="95"/>
  <c r="M50" i="95"/>
  <c r="M51" i="92" s="1"/>
  <c r="M51" i="95"/>
  <c r="M52" i="95"/>
  <c r="M53" i="95"/>
  <c r="M54" i="95"/>
  <c r="M55" i="92" s="1"/>
  <c r="M56" i="95"/>
  <c r="M57" i="95"/>
  <c r="M58" i="95"/>
  <c r="C59" i="95"/>
  <c r="D59" i="95"/>
  <c r="E59" i="95"/>
  <c r="F59" i="95"/>
  <c r="G59" i="95"/>
  <c r="H59" i="95"/>
  <c r="I59" i="95"/>
  <c r="J59" i="95"/>
  <c r="K59" i="95"/>
  <c r="L59" i="95"/>
  <c r="A3" i="94"/>
  <c r="A34" i="94" s="1"/>
  <c r="C10" i="94"/>
  <c r="H10" i="94"/>
  <c r="C11" i="94"/>
  <c r="H11" i="94"/>
  <c r="C12" i="94"/>
  <c r="H12" i="94"/>
  <c r="C13" i="94"/>
  <c r="H13" i="94"/>
  <c r="C14" i="94"/>
  <c r="H14" i="94"/>
  <c r="C15" i="94"/>
  <c r="H15" i="94"/>
  <c r="C16" i="94"/>
  <c r="H16" i="94"/>
  <c r="C17" i="94"/>
  <c r="H17" i="94"/>
  <c r="C18" i="94"/>
  <c r="H18" i="94"/>
  <c r="C19" i="94"/>
  <c r="H19" i="94"/>
  <c r="C20" i="94"/>
  <c r="H20" i="94"/>
  <c r="C21" i="94"/>
  <c r="H21" i="94"/>
  <c r="C22" i="94"/>
  <c r="H22" i="94"/>
  <c r="C23" i="94"/>
  <c r="H23" i="94"/>
  <c r="C24" i="94"/>
  <c r="H24" i="94"/>
  <c r="C25" i="94"/>
  <c r="H25" i="94"/>
  <c r="C26" i="94"/>
  <c r="H26" i="94"/>
  <c r="C27" i="94"/>
  <c r="H27" i="94"/>
  <c r="D28" i="94"/>
  <c r="E28" i="94"/>
  <c r="F28" i="94"/>
  <c r="G28" i="94"/>
  <c r="I28" i="94"/>
  <c r="J28" i="94"/>
  <c r="K28" i="94"/>
  <c r="L28" i="94"/>
  <c r="M28" i="94"/>
  <c r="N28" i="94"/>
  <c r="O28" i="94"/>
  <c r="M41" i="94"/>
  <c r="M42" i="94"/>
  <c r="M43" i="94"/>
  <c r="M44" i="94"/>
  <c r="M45" i="92" s="1"/>
  <c r="M45" i="94"/>
  <c r="M46" i="94"/>
  <c r="M47" i="94"/>
  <c r="M48" i="92" s="1"/>
  <c r="M48" i="94"/>
  <c r="M49" i="92" s="1"/>
  <c r="M49" i="94"/>
  <c r="M50" i="94"/>
  <c r="M51" i="94"/>
  <c r="M52" i="92" s="1"/>
  <c r="M52" i="94"/>
  <c r="M53" i="92" s="1"/>
  <c r="M53" i="94"/>
  <c r="M54" i="94"/>
  <c r="M55" i="94"/>
  <c r="M56" i="92" s="1"/>
  <c r="M56" i="94"/>
  <c r="M57" i="94"/>
  <c r="M58" i="94"/>
  <c r="C59" i="94"/>
  <c r="D59" i="94"/>
  <c r="E59" i="94"/>
  <c r="F59" i="94"/>
  <c r="G59" i="94"/>
  <c r="H59" i="94"/>
  <c r="I59" i="94"/>
  <c r="J59" i="94"/>
  <c r="K59" i="94"/>
  <c r="L59" i="94"/>
  <c r="G11" i="93"/>
  <c r="G12" i="93"/>
  <c r="G21" i="93"/>
  <c r="G24" i="93"/>
  <c r="D10" i="92"/>
  <c r="E10" i="92"/>
  <c r="F10" i="92"/>
  <c r="G10" i="92"/>
  <c r="I10" i="92"/>
  <c r="J10" i="92"/>
  <c r="K10" i="92"/>
  <c r="L10" i="92"/>
  <c r="M10" i="92"/>
  <c r="N10" i="92"/>
  <c r="O10" i="92"/>
  <c r="D11" i="92"/>
  <c r="E11" i="92"/>
  <c r="F11" i="92"/>
  <c r="G11" i="92"/>
  <c r="I11" i="92"/>
  <c r="J11" i="92"/>
  <c r="K11" i="92"/>
  <c r="L11" i="92"/>
  <c r="M11" i="92"/>
  <c r="N11" i="92"/>
  <c r="O11" i="92"/>
  <c r="D12" i="92"/>
  <c r="E12" i="92"/>
  <c r="F12" i="92"/>
  <c r="G12" i="92"/>
  <c r="I12" i="92"/>
  <c r="J12" i="92"/>
  <c r="K12" i="92"/>
  <c r="L12" i="92"/>
  <c r="M12" i="92"/>
  <c r="N12" i="92"/>
  <c r="O12" i="92"/>
  <c r="D13" i="92"/>
  <c r="E13" i="92"/>
  <c r="F13" i="92"/>
  <c r="G13" i="92"/>
  <c r="I13" i="92"/>
  <c r="J13" i="92"/>
  <c r="K13" i="92"/>
  <c r="L13" i="92"/>
  <c r="M13" i="92"/>
  <c r="N13" i="92"/>
  <c r="O13" i="92"/>
  <c r="D14" i="92"/>
  <c r="E14" i="92"/>
  <c r="F14" i="92"/>
  <c r="G14" i="92"/>
  <c r="I14" i="92"/>
  <c r="J14" i="92"/>
  <c r="K14" i="92"/>
  <c r="L14" i="92"/>
  <c r="M14" i="92"/>
  <c r="N14" i="92"/>
  <c r="O14" i="92"/>
  <c r="D15" i="92"/>
  <c r="E15" i="92"/>
  <c r="F15" i="92"/>
  <c r="G15" i="92"/>
  <c r="I15" i="92"/>
  <c r="J15" i="92"/>
  <c r="K15" i="92"/>
  <c r="L15" i="92"/>
  <c r="M15" i="92"/>
  <c r="N15" i="92"/>
  <c r="O15" i="92"/>
  <c r="D16" i="92"/>
  <c r="E16" i="92"/>
  <c r="F16" i="92"/>
  <c r="G16" i="92"/>
  <c r="I16" i="92"/>
  <c r="J16" i="92"/>
  <c r="K16" i="92"/>
  <c r="L16" i="92"/>
  <c r="M16" i="92"/>
  <c r="N16" i="92"/>
  <c r="O16" i="92"/>
  <c r="D17" i="92"/>
  <c r="E17" i="92"/>
  <c r="F17" i="92"/>
  <c r="G17" i="92"/>
  <c r="I17" i="92"/>
  <c r="J17" i="92"/>
  <c r="K17" i="92"/>
  <c r="L17" i="92"/>
  <c r="M17" i="92"/>
  <c r="N17" i="92"/>
  <c r="O17" i="92"/>
  <c r="D18" i="92"/>
  <c r="E18" i="92"/>
  <c r="F18" i="92"/>
  <c r="G18" i="92"/>
  <c r="I18" i="92"/>
  <c r="J18" i="92"/>
  <c r="K18" i="92"/>
  <c r="L18" i="92"/>
  <c r="M18" i="92"/>
  <c r="N18" i="92"/>
  <c r="O18" i="92"/>
  <c r="D19" i="92"/>
  <c r="E19" i="92"/>
  <c r="F19" i="92"/>
  <c r="G19" i="92"/>
  <c r="I19" i="92"/>
  <c r="J19" i="92"/>
  <c r="K19" i="92"/>
  <c r="L19" i="92"/>
  <c r="M19" i="92"/>
  <c r="N19" i="92"/>
  <c r="O19" i="92"/>
  <c r="D20" i="92"/>
  <c r="E20" i="92"/>
  <c r="F20" i="92"/>
  <c r="G20" i="92"/>
  <c r="I20" i="92"/>
  <c r="J20" i="92"/>
  <c r="K20" i="92"/>
  <c r="L20" i="92"/>
  <c r="M20" i="92"/>
  <c r="N20" i="92"/>
  <c r="O20" i="92"/>
  <c r="D21" i="92"/>
  <c r="E21" i="92"/>
  <c r="F21" i="92"/>
  <c r="G21" i="92"/>
  <c r="I21" i="92"/>
  <c r="J21" i="92"/>
  <c r="K21" i="92"/>
  <c r="L21" i="92"/>
  <c r="M21" i="92"/>
  <c r="N21" i="92"/>
  <c r="O21" i="92"/>
  <c r="D22" i="92"/>
  <c r="E22" i="92"/>
  <c r="F22" i="92"/>
  <c r="G22" i="92"/>
  <c r="I22" i="92"/>
  <c r="J22" i="92"/>
  <c r="K22" i="92"/>
  <c r="L22" i="92"/>
  <c r="M22" i="92"/>
  <c r="N22" i="92"/>
  <c r="O22" i="92"/>
  <c r="D23" i="92"/>
  <c r="E23" i="92"/>
  <c r="F23" i="92"/>
  <c r="G23" i="92"/>
  <c r="I23" i="92"/>
  <c r="J23" i="92"/>
  <c r="K23" i="92"/>
  <c r="L23" i="92"/>
  <c r="M23" i="92"/>
  <c r="N23" i="92"/>
  <c r="O23" i="92"/>
  <c r="D24" i="92"/>
  <c r="E24" i="92"/>
  <c r="F24" i="92"/>
  <c r="G24" i="92"/>
  <c r="I24" i="92"/>
  <c r="J24" i="92"/>
  <c r="K24" i="92"/>
  <c r="L24" i="92"/>
  <c r="M24" i="92"/>
  <c r="N24" i="92"/>
  <c r="O24" i="92"/>
  <c r="D25" i="92"/>
  <c r="E25" i="92"/>
  <c r="F25" i="92"/>
  <c r="G25" i="92"/>
  <c r="I25" i="92"/>
  <c r="J25" i="92"/>
  <c r="K25" i="92"/>
  <c r="L25" i="92"/>
  <c r="M25" i="92"/>
  <c r="N25" i="92"/>
  <c r="O25" i="92"/>
  <c r="D26" i="92"/>
  <c r="E26" i="92"/>
  <c r="F26" i="92"/>
  <c r="G26" i="92"/>
  <c r="I26" i="92"/>
  <c r="J26" i="92"/>
  <c r="K26" i="92"/>
  <c r="L26" i="92"/>
  <c r="M26" i="92"/>
  <c r="N26" i="92"/>
  <c r="O26" i="92"/>
  <c r="D27" i="92"/>
  <c r="E27" i="92"/>
  <c r="F27" i="92"/>
  <c r="G27" i="92"/>
  <c r="I27" i="92"/>
  <c r="J27" i="92"/>
  <c r="K27" i="92"/>
  <c r="L27" i="92"/>
  <c r="M27" i="92"/>
  <c r="N27" i="92"/>
  <c r="O27" i="92"/>
  <c r="A35" i="92"/>
  <c r="C42" i="92"/>
  <c r="D42" i="92"/>
  <c r="E42" i="92"/>
  <c r="F42" i="92"/>
  <c r="G42" i="92"/>
  <c r="H42" i="92"/>
  <c r="I42" i="92"/>
  <c r="J42" i="92"/>
  <c r="K42" i="92"/>
  <c r="L42" i="92"/>
  <c r="C43" i="92"/>
  <c r="D43" i="92"/>
  <c r="E43" i="92"/>
  <c r="F43" i="92"/>
  <c r="G43" i="92"/>
  <c r="H43" i="92"/>
  <c r="I43" i="92"/>
  <c r="J43" i="92"/>
  <c r="K43" i="92"/>
  <c r="L43" i="92"/>
  <c r="C44" i="92"/>
  <c r="D44" i="92"/>
  <c r="E44" i="92"/>
  <c r="F44" i="92"/>
  <c r="G44" i="92"/>
  <c r="H44" i="92"/>
  <c r="I44" i="92"/>
  <c r="J44" i="92"/>
  <c r="K44" i="92"/>
  <c r="L44" i="92"/>
  <c r="M44" i="92"/>
  <c r="C45" i="92"/>
  <c r="D45" i="92"/>
  <c r="E45" i="92"/>
  <c r="F45" i="92"/>
  <c r="G45" i="92"/>
  <c r="H45" i="92"/>
  <c r="I45" i="92"/>
  <c r="J45" i="92"/>
  <c r="K45" i="92"/>
  <c r="L45" i="92"/>
  <c r="C46" i="92"/>
  <c r="D46" i="92"/>
  <c r="E46" i="92"/>
  <c r="F46" i="92"/>
  <c r="G46" i="92"/>
  <c r="H46" i="92"/>
  <c r="I46" i="92"/>
  <c r="J46" i="92"/>
  <c r="K46" i="92"/>
  <c r="L46" i="92"/>
  <c r="C47" i="92"/>
  <c r="D47" i="92"/>
  <c r="E47" i="92"/>
  <c r="F47" i="92"/>
  <c r="G47" i="92"/>
  <c r="H47" i="92"/>
  <c r="I47" i="92"/>
  <c r="J47" i="92"/>
  <c r="K47" i="92"/>
  <c r="L47" i="92"/>
  <c r="M47" i="92"/>
  <c r="C48" i="92"/>
  <c r="D48" i="92"/>
  <c r="E48" i="92"/>
  <c r="F48" i="92"/>
  <c r="G48" i="92"/>
  <c r="H48" i="92"/>
  <c r="I48" i="92"/>
  <c r="J48" i="92"/>
  <c r="K48" i="92"/>
  <c r="L48" i="92"/>
  <c r="C49" i="92"/>
  <c r="D49" i="92"/>
  <c r="E49" i="92"/>
  <c r="F49" i="92"/>
  <c r="G49" i="92"/>
  <c r="H49" i="92"/>
  <c r="I49" i="92"/>
  <c r="J49" i="92"/>
  <c r="K49" i="92"/>
  <c r="L49" i="92"/>
  <c r="C50" i="92"/>
  <c r="D50" i="92"/>
  <c r="E50" i="92"/>
  <c r="F50" i="92"/>
  <c r="G50" i="92"/>
  <c r="H50" i="92"/>
  <c r="I50" i="92"/>
  <c r="J50" i="92"/>
  <c r="K50" i="92"/>
  <c r="L50" i="92"/>
  <c r="M50" i="92"/>
  <c r="C51" i="92"/>
  <c r="D51" i="92"/>
  <c r="E51" i="92"/>
  <c r="F51" i="92"/>
  <c r="G51" i="92"/>
  <c r="H51" i="92"/>
  <c r="I51" i="92"/>
  <c r="J51" i="92"/>
  <c r="K51" i="92"/>
  <c r="L51" i="92"/>
  <c r="C52" i="92"/>
  <c r="D52" i="92"/>
  <c r="E52" i="92"/>
  <c r="F52" i="92"/>
  <c r="G52" i="92"/>
  <c r="H52" i="92"/>
  <c r="I52" i="92"/>
  <c r="J52" i="92"/>
  <c r="K52" i="92"/>
  <c r="L52" i="92"/>
  <c r="C53" i="92"/>
  <c r="D53" i="92"/>
  <c r="E53" i="92"/>
  <c r="F53" i="92"/>
  <c r="G53" i="92"/>
  <c r="H53" i="92"/>
  <c r="I53" i="92"/>
  <c r="J53" i="92"/>
  <c r="K53" i="92"/>
  <c r="L53" i="92"/>
  <c r="C54" i="92"/>
  <c r="D54" i="92"/>
  <c r="E54" i="92"/>
  <c r="F54" i="92"/>
  <c r="G54" i="92"/>
  <c r="H54" i="92"/>
  <c r="I54" i="92"/>
  <c r="J54" i="92"/>
  <c r="K54" i="92"/>
  <c r="L54" i="92"/>
  <c r="M54" i="92"/>
  <c r="C55" i="92"/>
  <c r="D55" i="92"/>
  <c r="E55" i="92"/>
  <c r="F55" i="92"/>
  <c r="G55" i="92"/>
  <c r="H55" i="92"/>
  <c r="I55" i="92"/>
  <c r="J55" i="92"/>
  <c r="K55" i="92"/>
  <c r="L55" i="92"/>
  <c r="C56" i="92"/>
  <c r="D56" i="92"/>
  <c r="E56" i="92"/>
  <c r="F56" i="92"/>
  <c r="G56" i="92"/>
  <c r="H56" i="92"/>
  <c r="I56" i="92"/>
  <c r="J56" i="92"/>
  <c r="K56" i="92"/>
  <c r="L56" i="92"/>
  <c r="C57" i="92"/>
  <c r="D57" i="92"/>
  <c r="E57" i="92"/>
  <c r="F57" i="92"/>
  <c r="G57" i="92"/>
  <c r="H57" i="92"/>
  <c r="I57" i="92"/>
  <c r="J57" i="92"/>
  <c r="K57" i="92"/>
  <c r="L57" i="92"/>
  <c r="M57" i="92"/>
  <c r="C58" i="92"/>
  <c r="D58" i="92"/>
  <c r="E58" i="92"/>
  <c r="F58" i="92"/>
  <c r="G58" i="92"/>
  <c r="H58" i="92"/>
  <c r="I58" i="92"/>
  <c r="J58" i="92"/>
  <c r="K58" i="92"/>
  <c r="L58" i="92"/>
  <c r="M58" i="92"/>
  <c r="C59" i="92"/>
  <c r="D59" i="92"/>
  <c r="E59" i="92"/>
  <c r="F59" i="92"/>
  <c r="G59" i="92"/>
  <c r="H59" i="92"/>
  <c r="I59" i="92"/>
  <c r="J59" i="92"/>
  <c r="K59" i="92"/>
  <c r="L59" i="92"/>
  <c r="B18" i="91"/>
  <c r="B18" i="90"/>
  <c r="B18" i="89"/>
  <c r="B18" i="88"/>
  <c r="A4" i="87"/>
  <c r="A4" i="88" s="1"/>
  <c r="A4" i="89" s="1"/>
  <c r="A4" i="90" s="1"/>
  <c r="A4" i="91" s="1"/>
  <c r="B18" i="87"/>
  <c r="C9" i="86"/>
  <c r="D9" i="86"/>
  <c r="E9" i="86"/>
  <c r="C10" i="86"/>
  <c r="D10" i="86"/>
  <c r="E10" i="86"/>
  <c r="C11" i="86"/>
  <c r="D11" i="86"/>
  <c r="E11" i="86"/>
  <c r="C12" i="86"/>
  <c r="D12" i="86"/>
  <c r="E12" i="86"/>
  <c r="C13" i="86"/>
  <c r="D13" i="86"/>
  <c r="E13" i="86"/>
  <c r="C14" i="86"/>
  <c r="D14" i="86"/>
  <c r="E14" i="86"/>
  <c r="C15" i="86"/>
  <c r="D15" i="86"/>
  <c r="E15" i="86"/>
  <c r="C16" i="86"/>
  <c r="D16" i="86"/>
  <c r="E16" i="86"/>
  <c r="C17" i="86"/>
  <c r="D17" i="86"/>
  <c r="E17" i="86"/>
  <c r="C18" i="86"/>
  <c r="C25" i="85"/>
  <c r="C12" i="85" s="1"/>
  <c r="D25" i="85"/>
  <c r="D12" i="85" s="1"/>
  <c r="E25" i="85"/>
  <c r="F25" i="85"/>
  <c r="F12" i="85" s="1"/>
  <c r="G25" i="85"/>
  <c r="G12" i="85" s="1"/>
  <c r="H25" i="85"/>
  <c r="H12" i="85" s="1"/>
  <c r="I25" i="85"/>
  <c r="J25" i="85"/>
  <c r="L25" i="85"/>
  <c r="L12" i="85" s="1"/>
  <c r="M25" i="85"/>
  <c r="M12" i="85" s="1"/>
  <c r="N25" i="85"/>
  <c r="Q25" i="85"/>
  <c r="Q12" i="85" s="1"/>
  <c r="R25" i="85"/>
  <c r="R12" i="85" s="1"/>
  <c r="D18" i="91" s="1"/>
  <c r="S25" i="85"/>
  <c r="S12" i="85" s="1"/>
  <c r="T25" i="85"/>
  <c r="U25" i="85"/>
  <c r="K26" i="85"/>
  <c r="P26" i="85" s="1"/>
  <c r="V26" i="85"/>
  <c r="W26" i="85"/>
  <c r="X26" i="85"/>
  <c r="Y26" i="85"/>
  <c r="K27" i="85"/>
  <c r="P27" i="85" s="1"/>
  <c r="V27" i="85"/>
  <c r="W27" i="85"/>
  <c r="X27" i="85"/>
  <c r="Y27" i="85"/>
  <c r="K28" i="85"/>
  <c r="P28" i="85" s="1"/>
  <c r="V28" i="85"/>
  <c r="W28" i="85"/>
  <c r="X28" i="85"/>
  <c r="Y28" i="85"/>
  <c r="K29" i="85"/>
  <c r="P29" i="85" s="1"/>
  <c r="K30" i="85"/>
  <c r="P30" i="85" s="1"/>
  <c r="K31" i="85"/>
  <c r="P31" i="85"/>
  <c r="W31" i="85"/>
  <c r="X31" i="85"/>
  <c r="Y31" i="85"/>
  <c r="K33" i="85"/>
  <c r="P33" i="85" s="1"/>
  <c r="E18" i="90"/>
  <c r="D18" i="90"/>
  <c r="V12" i="84"/>
  <c r="F18" i="90" s="1"/>
  <c r="D18" i="89"/>
  <c r="V12" i="83"/>
  <c r="F18" i="89" s="1"/>
  <c r="K15" i="83"/>
  <c r="O15" i="83"/>
  <c r="V15" i="83"/>
  <c r="X15" i="83"/>
  <c r="K16" i="83"/>
  <c r="O16" i="83"/>
  <c r="V16" i="83"/>
  <c r="X16" i="83"/>
  <c r="K24" i="83"/>
  <c r="O24" i="83"/>
  <c r="P24" i="83" s="1"/>
  <c r="C12" i="82"/>
  <c r="D12" i="82"/>
  <c r="E12" i="82"/>
  <c r="F12" i="82"/>
  <c r="G12" i="82"/>
  <c r="H12" i="82"/>
  <c r="I12" i="82"/>
  <c r="J12" i="82"/>
  <c r="L12" i="82"/>
  <c r="M12" i="82"/>
  <c r="N12" i="82"/>
  <c r="Q12" i="82"/>
  <c r="R12" i="82"/>
  <c r="D18" i="88" s="1"/>
  <c r="S12" i="82"/>
  <c r="T12" i="82"/>
  <c r="U12" i="82"/>
  <c r="K14" i="82"/>
  <c r="O14" i="82"/>
  <c r="X14" i="82" s="1"/>
  <c r="V14" i="82"/>
  <c r="K15" i="82"/>
  <c r="O15" i="82"/>
  <c r="X15" i="82" s="1"/>
  <c r="V15" i="82"/>
  <c r="K16" i="82"/>
  <c r="O16" i="82"/>
  <c r="X16" i="82" s="1"/>
  <c r="V16" i="82"/>
  <c r="K18" i="82"/>
  <c r="O18" i="82"/>
  <c r="X18" i="82" s="1"/>
  <c r="V18" i="82"/>
  <c r="K19" i="82"/>
  <c r="O19" i="82"/>
  <c r="K22" i="82"/>
  <c r="O22" i="82"/>
  <c r="V22" i="82"/>
  <c r="X22" i="82"/>
  <c r="K24" i="82"/>
  <c r="O24" i="82"/>
  <c r="V24" i="82"/>
  <c r="X24" i="82"/>
  <c r="A3" i="81"/>
  <c r="A3" i="85" s="1"/>
  <c r="C12" i="81"/>
  <c r="D12" i="81"/>
  <c r="E12" i="81"/>
  <c r="F12" i="81"/>
  <c r="G12" i="81"/>
  <c r="H12" i="81"/>
  <c r="I12" i="81"/>
  <c r="J12" i="81"/>
  <c r="K12" i="81" s="1"/>
  <c r="L12" i="81"/>
  <c r="M12" i="81"/>
  <c r="N12" i="81"/>
  <c r="Q12" i="81"/>
  <c r="R12" i="81"/>
  <c r="D18" i="87" s="1"/>
  <c r="S12" i="81"/>
  <c r="T12" i="81"/>
  <c r="U12" i="81"/>
  <c r="O15" i="81"/>
  <c r="P15" i="81" s="1"/>
  <c r="V15" i="81"/>
  <c r="X15" i="81"/>
  <c r="O18" i="81"/>
  <c r="P18" i="81" s="1"/>
  <c r="V18" i="81"/>
  <c r="X18" i="81"/>
  <c r="O19" i="81"/>
  <c r="P19" i="81" s="1"/>
  <c r="O20" i="81"/>
  <c r="P20" i="81" s="1"/>
  <c r="V20" i="81"/>
  <c r="X20" i="81"/>
  <c r="O21" i="81"/>
  <c r="V21" i="81"/>
  <c r="O22" i="81"/>
  <c r="V22" i="81"/>
  <c r="O23" i="81"/>
  <c r="P23" i="81" s="1"/>
  <c r="V23" i="81"/>
  <c r="X23" i="81"/>
  <c r="O24" i="81"/>
  <c r="P24" i="81" s="1"/>
  <c r="V24" i="81"/>
  <c r="X24" i="81"/>
  <c r="C13" i="80"/>
  <c r="D13" i="80"/>
  <c r="E13" i="80"/>
  <c r="F13" i="80"/>
  <c r="G13" i="80"/>
  <c r="H13" i="80"/>
  <c r="I13" i="80"/>
  <c r="J13" i="80"/>
  <c r="L13" i="80"/>
  <c r="M13" i="80"/>
  <c r="N13" i="80"/>
  <c r="Q13" i="80"/>
  <c r="R13" i="80"/>
  <c r="S13" i="80"/>
  <c r="T13" i="80"/>
  <c r="U13" i="80"/>
  <c r="C14" i="80"/>
  <c r="D14" i="80"/>
  <c r="E14" i="80"/>
  <c r="F14" i="80"/>
  <c r="G14" i="80"/>
  <c r="H14" i="80"/>
  <c r="I14" i="80"/>
  <c r="J14" i="80"/>
  <c r="L14" i="80"/>
  <c r="M14" i="80"/>
  <c r="N14" i="80"/>
  <c r="Q14" i="80"/>
  <c r="R14" i="80"/>
  <c r="S14" i="80"/>
  <c r="T14" i="80"/>
  <c r="U14" i="80"/>
  <c r="C15" i="80"/>
  <c r="D15" i="80"/>
  <c r="E15" i="80"/>
  <c r="F15" i="80"/>
  <c r="G15" i="80"/>
  <c r="H15" i="80"/>
  <c r="I15" i="80"/>
  <c r="J15" i="80"/>
  <c r="L15" i="80"/>
  <c r="M15" i="80"/>
  <c r="N15" i="80"/>
  <c r="Q15" i="80"/>
  <c r="R15" i="80"/>
  <c r="S15" i="80"/>
  <c r="T15" i="80"/>
  <c r="U15" i="80"/>
  <c r="C16" i="80"/>
  <c r="D16" i="80"/>
  <c r="E16" i="80"/>
  <c r="F16" i="80"/>
  <c r="G16" i="80"/>
  <c r="H16" i="80"/>
  <c r="I16" i="80"/>
  <c r="J16" i="80"/>
  <c r="L16" i="80"/>
  <c r="M16" i="80"/>
  <c r="N16" i="80"/>
  <c r="Q16" i="80"/>
  <c r="R16" i="80"/>
  <c r="S16" i="80"/>
  <c r="T16" i="80"/>
  <c r="U16" i="80"/>
  <c r="C18" i="80"/>
  <c r="D18" i="80"/>
  <c r="E18" i="80"/>
  <c r="F18" i="80"/>
  <c r="G18" i="80"/>
  <c r="H18" i="80"/>
  <c r="I18" i="80"/>
  <c r="J18" i="80"/>
  <c r="L18" i="80"/>
  <c r="M18" i="80"/>
  <c r="N18" i="80"/>
  <c r="Q18" i="80"/>
  <c r="R18" i="80"/>
  <c r="S18" i="80"/>
  <c r="T18" i="80"/>
  <c r="U18" i="80"/>
  <c r="C19" i="80"/>
  <c r="D19" i="80"/>
  <c r="E19" i="80"/>
  <c r="F19" i="80"/>
  <c r="G19" i="80"/>
  <c r="H19" i="80"/>
  <c r="I19" i="80"/>
  <c r="J19" i="80"/>
  <c r="L19" i="80"/>
  <c r="M19" i="80"/>
  <c r="N19" i="80"/>
  <c r="Q19" i="80"/>
  <c r="R19" i="80"/>
  <c r="S19" i="80"/>
  <c r="T19" i="80"/>
  <c r="U19" i="80"/>
  <c r="C20" i="80"/>
  <c r="D20" i="80"/>
  <c r="E20" i="80"/>
  <c r="F20" i="80"/>
  <c r="G20" i="80"/>
  <c r="H20" i="80"/>
  <c r="I20" i="80"/>
  <c r="J20" i="80"/>
  <c r="L20" i="80"/>
  <c r="M20" i="80"/>
  <c r="N20" i="80"/>
  <c r="Q20" i="80"/>
  <c r="R20" i="80"/>
  <c r="S20" i="80"/>
  <c r="T20" i="80"/>
  <c r="U20" i="80"/>
  <c r="C21" i="80"/>
  <c r="D21" i="80"/>
  <c r="E21" i="80"/>
  <c r="F21" i="80"/>
  <c r="G21" i="80"/>
  <c r="H21" i="80"/>
  <c r="I21" i="80"/>
  <c r="J21" i="80"/>
  <c r="L21" i="80"/>
  <c r="M21" i="80"/>
  <c r="N21" i="80"/>
  <c r="Q21" i="80"/>
  <c r="R21" i="80"/>
  <c r="S21" i="80"/>
  <c r="T21" i="80"/>
  <c r="U21" i="80"/>
  <c r="C22" i="80"/>
  <c r="D22" i="80"/>
  <c r="E22" i="80"/>
  <c r="F22" i="80"/>
  <c r="G22" i="80"/>
  <c r="H22" i="80"/>
  <c r="I22" i="80"/>
  <c r="J22" i="80"/>
  <c r="L22" i="80"/>
  <c r="M22" i="80"/>
  <c r="N22" i="80"/>
  <c r="Q22" i="80"/>
  <c r="R22" i="80"/>
  <c r="S22" i="80"/>
  <c r="T22" i="80"/>
  <c r="U22" i="80"/>
  <c r="C23" i="80"/>
  <c r="D23" i="80"/>
  <c r="E23" i="80"/>
  <c r="F23" i="80"/>
  <c r="G23" i="80"/>
  <c r="H23" i="80"/>
  <c r="I23" i="80"/>
  <c r="J23" i="80"/>
  <c r="L23" i="80"/>
  <c r="M23" i="80"/>
  <c r="N23" i="80"/>
  <c r="Q23" i="80"/>
  <c r="R23" i="80"/>
  <c r="S23" i="80"/>
  <c r="T23" i="80"/>
  <c r="U23" i="80"/>
  <c r="C24" i="80"/>
  <c r="D24" i="80"/>
  <c r="E24" i="80"/>
  <c r="F24" i="80"/>
  <c r="G24" i="80"/>
  <c r="H24" i="80"/>
  <c r="I24" i="80"/>
  <c r="J24" i="80"/>
  <c r="L24" i="80"/>
  <c r="M24" i="80"/>
  <c r="N24" i="80"/>
  <c r="Q24" i="80"/>
  <c r="R24" i="80"/>
  <c r="S24" i="80"/>
  <c r="T24" i="80"/>
  <c r="U24" i="80"/>
  <c r="C25" i="80"/>
  <c r="F25" i="80"/>
  <c r="G25" i="80"/>
  <c r="L25" i="80"/>
  <c r="Q25" i="80"/>
  <c r="R25" i="80"/>
  <c r="D8" i="78"/>
  <c r="F8" i="78" s="1"/>
  <c r="F42" i="78" s="1"/>
  <c r="E8" i="78"/>
  <c r="G8" i="78"/>
  <c r="N9" i="78"/>
  <c r="O9" i="78"/>
  <c r="N10" i="78"/>
  <c r="O10" i="78"/>
  <c r="N11" i="78"/>
  <c r="O11" i="78"/>
  <c r="N12" i="78"/>
  <c r="O12" i="78"/>
  <c r="N13" i="78"/>
  <c r="O13" i="78"/>
  <c r="N14" i="78"/>
  <c r="O14" i="78"/>
  <c r="N15" i="78"/>
  <c r="O15" i="78"/>
  <c r="N16" i="78"/>
  <c r="O16" i="78"/>
  <c r="N17" i="78"/>
  <c r="O17" i="78"/>
  <c r="N18" i="78"/>
  <c r="O18" i="78"/>
  <c r="N19" i="78"/>
  <c r="O19" i="78"/>
  <c r="N20" i="78"/>
  <c r="O20" i="78"/>
  <c r="N21" i="78"/>
  <c r="O21" i="78"/>
  <c r="N22" i="78"/>
  <c r="O22" i="78"/>
  <c r="N23" i="78"/>
  <c r="O23" i="78"/>
  <c r="N24" i="78"/>
  <c r="O24" i="78"/>
  <c r="N25" i="78"/>
  <c r="O25" i="78"/>
  <c r="C26" i="78"/>
  <c r="E26" i="78"/>
  <c r="G26" i="78"/>
  <c r="I26" i="78"/>
  <c r="K26" i="78"/>
  <c r="M26" i="78"/>
  <c r="N26" i="78"/>
  <c r="N27" i="78"/>
  <c r="O27" i="78"/>
  <c r="N28" i="78"/>
  <c r="O28" i="78"/>
  <c r="N29" i="78"/>
  <c r="O29" i="78"/>
  <c r="N30" i="78"/>
  <c r="O30" i="78"/>
  <c r="N31" i="78"/>
  <c r="O31" i="78"/>
  <c r="N32" i="78"/>
  <c r="O32" i="78"/>
  <c r="B42" i="78"/>
  <c r="C42" i="78"/>
  <c r="D42" i="78"/>
  <c r="E42" i="78"/>
  <c r="B43" i="78"/>
  <c r="D43" i="78"/>
  <c r="F43" i="78"/>
  <c r="H43" i="78"/>
  <c r="I43" i="78"/>
  <c r="H19" i="79" s="1"/>
  <c r="L43" i="78"/>
  <c r="N43" i="78" s="1"/>
  <c r="N44" i="78"/>
  <c r="O44" i="78"/>
  <c r="N45" i="78"/>
  <c r="O45" i="78"/>
  <c r="N46" i="78"/>
  <c r="O46" i="78"/>
  <c r="N47" i="78"/>
  <c r="O47" i="78"/>
  <c r="C48" i="78"/>
  <c r="C43" i="78" s="1"/>
  <c r="E48" i="78"/>
  <c r="E43" i="78" s="1"/>
  <c r="D19" i="79" s="1"/>
  <c r="G48" i="78"/>
  <c r="G43" i="78" s="1"/>
  <c r="F19" i="79" s="1"/>
  <c r="I48" i="78"/>
  <c r="J48" i="78"/>
  <c r="J43" i="78" s="1"/>
  <c r="K48" i="78"/>
  <c r="K43" i="78" s="1"/>
  <c r="M48" i="78"/>
  <c r="M43" i="78" s="1"/>
  <c r="J19" i="79" s="1"/>
  <c r="N49" i="78"/>
  <c r="O49" i="78"/>
  <c r="N50" i="78"/>
  <c r="O50" i="78"/>
  <c r="N51" i="78"/>
  <c r="O51" i="78"/>
  <c r="N52" i="78"/>
  <c r="O52" i="78"/>
  <c r="N53" i="78"/>
  <c r="O53" i="78"/>
  <c r="N54" i="78"/>
  <c r="O54" i="78"/>
  <c r="I55" i="78"/>
  <c r="I19" i="79" s="1"/>
  <c r="J55" i="78"/>
  <c r="K55" i="78"/>
  <c r="N56" i="78"/>
  <c r="O56" i="78"/>
  <c r="N57" i="78"/>
  <c r="O57" i="78"/>
  <c r="N58" i="78"/>
  <c r="O58" i="78"/>
  <c r="C59" i="78"/>
  <c r="C55" i="78" s="1"/>
  <c r="C19" i="79" s="1"/>
  <c r="E59" i="78"/>
  <c r="E55" i="78" s="1"/>
  <c r="E19" i="79" s="1"/>
  <c r="G59" i="78"/>
  <c r="G55" i="78" s="1"/>
  <c r="G19" i="79" s="1"/>
  <c r="M59" i="78"/>
  <c r="M55" i="78" s="1"/>
  <c r="K19" i="79" s="1"/>
  <c r="N60" i="78"/>
  <c r="O60" i="78"/>
  <c r="N61" i="78"/>
  <c r="O61" i="78"/>
  <c r="N62" i="78"/>
  <c r="O62" i="78"/>
  <c r="N63" i="78"/>
  <c r="O63" i="78"/>
  <c r="N64" i="78"/>
  <c r="O64" i="78"/>
  <c r="N65" i="78"/>
  <c r="O65" i="78"/>
  <c r="N66" i="78"/>
  <c r="O66" i="78"/>
  <c r="N67" i="78"/>
  <c r="O67" i="78"/>
  <c r="M10" i="77"/>
  <c r="N10" i="77" s="1"/>
  <c r="P10" i="77"/>
  <c r="Q10" i="77" s="1"/>
  <c r="R10" i="77"/>
  <c r="S10" i="77"/>
  <c r="T10" i="77" s="1"/>
  <c r="V10" i="77"/>
  <c r="W10" i="77" s="1"/>
  <c r="X10" i="77"/>
  <c r="M11" i="77"/>
  <c r="N11" i="77" s="1"/>
  <c r="P11" i="77"/>
  <c r="S11" i="77"/>
  <c r="T11" i="77" s="1"/>
  <c r="V11" i="77"/>
  <c r="W11" i="77" s="1"/>
  <c r="X11" i="77"/>
  <c r="M12" i="77"/>
  <c r="N12" i="77" s="1"/>
  <c r="P12" i="77"/>
  <c r="Q12" i="77" s="1"/>
  <c r="R12" i="77"/>
  <c r="S12" i="77"/>
  <c r="T12" i="77" s="1"/>
  <c r="V12" i="77"/>
  <c r="W12" i="77" s="1"/>
  <c r="X12" i="77"/>
  <c r="M13" i="77"/>
  <c r="N13" i="77" s="1"/>
  <c r="O13" i="77"/>
  <c r="P13" i="77"/>
  <c r="Q13" i="77"/>
  <c r="R13" i="77"/>
  <c r="S13" i="77"/>
  <c r="T13" i="77" s="1"/>
  <c r="V13" i="77"/>
  <c r="W13" i="77" s="1"/>
  <c r="X13" i="77"/>
  <c r="M14" i="77"/>
  <c r="N14" i="77" s="1"/>
  <c r="O14" i="77"/>
  <c r="P14" i="77"/>
  <c r="Q14" i="77"/>
  <c r="R14" i="77"/>
  <c r="S14" i="77"/>
  <c r="T14" i="77" s="1"/>
  <c r="V14" i="77"/>
  <c r="W14" i="77" s="1"/>
  <c r="X14" i="77"/>
  <c r="M15" i="77"/>
  <c r="N15" i="77" s="1"/>
  <c r="O15" i="77"/>
  <c r="P15" i="77"/>
  <c r="Q15" i="77"/>
  <c r="R15" i="77"/>
  <c r="S15" i="77"/>
  <c r="T15" i="77" s="1"/>
  <c r="V15" i="77"/>
  <c r="W15" i="77" s="1"/>
  <c r="X15" i="77"/>
  <c r="M16" i="77"/>
  <c r="N16" i="77" s="1"/>
  <c r="O16" i="77"/>
  <c r="P16" i="77"/>
  <c r="Q16" i="77"/>
  <c r="R16" i="77"/>
  <c r="S16" i="77"/>
  <c r="T16" i="77" s="1"/>
  <c r="V16" i="77"/>
  <c r="W16" i="77" s="1"/>
  <c r="X16" i="77"/>
  <c r="M17" i="77"/>
  <c r="N17" i="77" s="1"/>
  <c r="O17" i="77"/>
  <c r="P17" i="77"/>
  <c r="Q17" i="77"/>
  <c r="R17" i="77"/>
  <c r="S17" i="77"/>
  <c r="T17" i="77" s="1"/>
  <c r="V17" i="77"/>
  <c r="W17" i="77" s="1"/>
  <c r="X17" i="77"/>
  <c r="M18" i="77"/>
  <c r="N18" i="77" s="1"/>
  <c r="O18" i="77"/>
  <c r="P18" i="77"/>
  <c r="Q18" i="77"/>
  <c r="R18" i="77"/>
  <c r="S18" i="77"/>
  <c r="T18" i="77" s="1"/>
  <c r="V18" i="77"/>
  <c r="W18" i="77" s="1"/>
  <c r="X18" i="77"/>
  <c r="B19" i="77"/>
  <c r="C19" i="77"/>
  <c r="D19" i="77"/>
  <c r="E19" i="77"/>
  <c r="F19" i="77"/>
  <c r="G19" i="77"/>
  <c r="A62" i="77"/>
  <c r="I8" i="76"/>
  <c r="I9" i="76"/>
  <c r="I10" i="76"/>
  <c r="I11" i="76"/>
  <c r="K11" i="76" s="1"/>
  <c r="I12" i="76"/>
  <c r="I13" i="76"/>
  <c r="I14" i="76"/>
  <c r="K14" i="76" s="1"/>
  <c r="C15" i="76"/>
  <c r="D15" i="76"/>
  <c r="E15" i="76"/>
  <c r="F15" i="76"/>
  <c r="F18" i="76" s="1"/>
  <c r="G15" i="76"/>
  <c r="H15" i="76"/>
  <c r="C16" i="76"/>
  <c r="D16" i="76"/>
  <c r="D18" i="76" s="1"/>
  <c r="E16" i="76"/>
  <c r="F16" i="76"/>
  <c r="G16" i="76"/>
  <c r="H16" i="76"/>
  <c r="I16" i="76"/>
  <c r="C17" i="76"/>
  <c r="D17" i="76"/>
  <c r="E17" i="76"/>
  <c r="F17" i="76"/>
  <c r="G17" i="76"/>
  <c r="H17" i="76"/>
  <c r="I17" i="76"/>
  <c r="G18" i="76"/>
  <c r="H18" i="76"/>
  <c r="B16" i="75"/>
  <c r="C16" i="75"/>
  <c r="D16" i="75"/>
  <c r="E16" i="75"/>
  <c r="F16" i="75"/>
  <c r="G7" i="74"/>
  <c r="H7" i="74"/>
  <c r="M7" i="74" s="1"/>
  <c r="I7" i="74"/>
  <c r="J7" i="74"/>
  <c r="O7" i="74" s="1"/>
  <c r="K7" i="74"/>
  <c r="P7" i="74" s="1"/>
  <c r="L7" i="74"/>
  <c r="N7" i="74"/>
  <c r="L8" i="74"/>
  <c r="M8" i="74"/>
  <c r="N8" i="74"/>
  <c r="O8" i="74"/>
  <c r="L9" i="74"/>
  <c r="M9" i="74"/>
  <c r="N9" i="74"/>
  <c r="O9" i="74"/>
  <c r="L11" i="74"/>
  <c r="M11" i="74"/>
  <c r="N11" i="74"/>
  <c r="O11" i="74"/>
  <c r="L12" i="74"/>
  <c r="M12" i="74"/>
  <c r="N12" i="74"/>
  <c r="O12" i="74"/>
  <c r="B13" i="74"/>
  <c r="C13" i="74"/>
  <c r="D13" i="74"/>
  <c r="E13" i="74"/>
  <c r="G13" i="74"/>
  <c r="H13" i="74"/>
  <c r="I13" i="74"/>
  <c r="J13" i="74"/>
  <c r="M13" i="74"/>
  <c r="O13" i="74"/>
  <c r="K8" i="73"/>
  <c r="F8" i="74" s="1"/>
  <c r="K9" i="73"/>
  <c r="F9" i="74" s="1"/>
  <c r="K10" i="73"/>
  <c r="F10" i="74" s="1"/>
  <c r="K11" i="73"/>
  <c r="F11" i="74" s="1"/>
  <c r="K12" i="73"/>
  <c r="F12" i="74" s="1"/>
  <c r="C13" i="73"/>
  <c r="G8" i="75" s="1"/>
  <c r="D13" i="73"/>
  <c r="G9" i="75" s="1"/>
  <c r="E13" i="73"/>
  <c r="G10" i="75" s="1"/>
  <c r="F13" i="73"/>
  <c r="G12" i="75" s="1"/>
  <c r="G13" i="73"/>
  <c r="G11" i="75" s="1"/>
  <c r="H13" i="73"/>
  <c r="G14" i="75" s="1"/>
  <c r="I13" i="73"/>
  <c r="G13" i="75" s="1"/>
  <c r="J13" i="73"/>
  <c r="G15" i="75" s="1"/>
  <c r="K14" i="73"/>
  <c r="K15" i="73"/>
  <c r="K16" i="73"/>
  <c r="K17" i="73"/>
  <c r="K18" i="73"/>
  <c r="C19" i="73"/>
  <c r="D19" i="73"/>
  <c r="E19" i="73"/>
  <c r="F19" i="73"/>
  <c r="G19" i="73"/>
  <c r="H19" i="73"/>
  <c r="I19" i="73"/>
  <c r="J19" i="73"/>
  <c r="K20" i="73"/>
  <c r="K21" i="73"/>
  <c r="K22" i="73"/>
  <c r="K23" i="73"/>
  <c r="K24" i="73"/>
  <c r="C25" i="73"/>
  <c r="D25" i="73"/>
  <c r="E25" i="73"/>
  <c r="F25" i="73"/>
  <c r="G25" i="73"/>
  <c r="H25" i="73"/>
  <c r="I25" i="73"/>
  <c r="J25" i="73"/>
  <c r="K26" i="73"/>
  <c r="K27" i="73"/>
  <c r="K28" i="73"/>
  <c r="K29" i="73"/>
  <c r="K30" i="73"/>
  <c r="C31" i="73"/>
  <c r="D31" i="73"/>
  <c r="E31" i="73"/>
  <c r="F31" i="73"/>
  <c r="G31" i="73"/>
  <c r="H31" i="73"/>
  <c r="I31" i="73"/>
  <c r="J31" i="73"/>
  <c r="K32" i="73"/>
  <c r="K33" i="73"/>
  <c r="K34" i="73"/>
  <c r="K35" i="73"/>
  <c r="K36" i="73"/>
  <c r="C37" i="73"/>
  <c r="D37" i="73"/>
  <c r="E37" i="73"/>
  <c r="F37" i="73"/>
  <c r="G37" i="73"/>
  <c r="H37" i="73"/>
  <c r="I37" i="73"/>
  <c r="J37" i="73"/>
  <c r="C38" i="73"/>
  <c r="D38" i="73"/>
  <c r="E38" i="73"/>
  <c r="F38" i="73"/>
  <c r="G38" i="73"/>
  <c r="H38" i="73"/>
  <c r="I38" i="73"/>
  <c r="J38" i="73"/>
  <c r="C39" i="73"/>
  <c r="D39" i="73"/>
  <c r="E39" i="73"/>
  <c r="F39" i="73"/>
  <c r="G39" i="73"/>
  <c r="H39" i="73"/>
  <c r="I39" i="73"/>
  <c r="J39" i="73"/>
  <c r="C40" i="73"/>
  <c r="D40" i="73"/>
  <c r="E40" i="73"/>
  <c r="F40" i="73"/>
  <c r="I40" i="73"/>
  <c r="J40" i="73"/>
  <c r="C41" i="73"/>
  <c r="D41" i="73"/>
  <c r="E41" i="73"/>
  <c r="F41" i="73"/>
  <c r="G41" i="73"/>
  <c r="H41" i="73"/>
  <c r="I41" i="73"/>
  <c r="J41" i="73"/>
  <c r="C42" i="73"/>
  <c r="D42" i="73"/>
  <c r="E42" i="73"/>
  <c r="F42" i="73"/>
  <c r="F43" i="73" s="1"/>
  <c r="G42" i="73"/>
  <c r="H42" i="73"/>
  <c r="I42" i="73"/>
  <c r="J42" i="73"/>
  <c r="K44" i="73"/>
  <c r="K45" i="73"/>
  <c r="K46" i="73"/>
  <c r="K47" i="73"/>
  <c r="K48" i="73"/>
  <c r="K49" i="73"/>
  <c r="C50" i="73"/>
  <c r="D50" i="73"/>
  <c r="E50" i="73"/>
  <c r="F50" i="73"/>
  <c r="G50" i="73"/>
  <c r="H50" i="73"/>
  <c r="I50" i="73"/>
  <c r="J50" i="73"/>
  <c r="H8" i="72"/>
  <c r="H62" i="72" s="1"/>
  <c r="H9" i="72"/>
  <c r="H7" i="72" s="1"/>
  <c r="H11" i="72"/>
  <c r="H65" i="72" s="1"/>
  <c r="H14" i="72"/>
  <c r="H16" i="72"/>
  <c r="H17" i="72"/>
  <c r="H20" i="72"/>
  <c r="H24" i="72"/>
  <c r="H77" i="72" s="1"/>
  <c r="C25" i="72"/>
  <c r="D25" i="72"/>
  <c r="E25" i="72"/>
  <c r="F25" i="72"/>
  <c r="F78" i="72" s="1"/>
  <c r="C29" i="72"/>
  <c r="C60" i="72" s="1"/>
  <c r="D29" i="72"/>
  <c r="E29" i="72"/>
  <c r="F29" i="72"/>
  <c r="F60" i="72" s="1"/>
  <c r="G29" i="72"/>
  <c r="G60" i="72" s="1"/>
  <c r="H29" i="72"/>
  <c r="H63" i="72"/>
  <c r="H68" i="72"/>
  <c r="C49" i="72"/>
  <c r="C78" i="72" s="1"/>
  <c r="D49" i="72"/>
  <c r="D78" i="72" s="1"/>
  <c r="E49" i="72"/>
  <c r="F49" i="72"/>
  <c r="D60" i="72"/>
  <c r="E60" i="72"/>
  <c r="H60" i="72"/>
  <c r="C61" i="72"/>
  <c r="D61" i="72"/>
  <c r="E61" i="72"/>
  <c r="F61" i="72"/>
  <c r="G61" i="72"/>
  <c r="C62" i="72"/>
  <c r="D62" i="72"/>
  <c r="E62" i="72"/>
  <c r="F62" i="72"/>
  <c r="G62" i="72"/>
  <c r="C64" i="72"/>
  <c r="D64" i="72"/>
  <c r="E64" i="72"/>
  <c r="F64" i="72"/>
  <c r="G64" i="72"/>
  <c r="C66" i="72"/>
  <c r="D66" i="72"/>
  <c r="E66" i="72"/>
  <c r="F66" i="72"/>
  <c r="G66" i="72"/>
  <c r="C67" i="72"/>
  <c r="D67" i="72"/>
  <c r="E67" i="72"/>
  <c r="F67" i="72"/>
  <c r="G67" i="72"/>
  <c r="C68" i="72"/>
  <c r="D68" i="72"/>
  <c r="E68" i="72"/>
  <c r="F68" i="72"/>
  <c r="G68" i="72"/>
  <c r="G69" i="72"/>
  <c r="C70" i="72"/>
  <c r="D70" i="72"/>
  <c r="E70" i="72"/>
  <c r="F70" i="72"/>
  <c r="G70" i="72"/>
  <c r="C71" i="72"/>
  <c r="D71" i="72"/>
  <c r="E71" i="72"/>
  <c r="F71" i="72"/>
  <c r="G71" i="72"/>
  <c r="C72" i="72"/>
  <c r="D72" i="72"/>
  <c r="E72" i="72"/>
  <c r="F72" i="72"/>
  <c r="G72" i="72"/>
  <c r="C74" i="72"/>
  <c r="D74" i="72"/>
  <c r="E74" i="72"/>
  <c r="F74" i="72"/>
  <c r="G74" i="72"/>
  <c r="C75" i="72"/>
  <c r="D75" i="72"/>
  <c r="E75" i="72"/>
  <c r="F75" i="72"/>
  <c r="G75" i="72"/>
  <c r="C76" i="72"/>
  <c r="D76" i="72"/>
  <c r="E76" i="72"/>
  <c r="F76" i="72"/>
  <c r="G76" i="72"/>
  <c r="E78" i="72"/>
  <c r="G78" i="72"/>
  <c r="A2" i="71"/>
  <c r="U8" i="71"/>
  <c r="U9" i="71"/>
  <c r="U10" i="71"/>
  <c r="U11" i="71"/>
  <c r="U12" i="71"/>
  <c r="U13" i="71"/>
  <c r="U14" i="71"/>
  <c r="U15" i="71"/>
  <c r="U16" i="71"/>
  <c r="U17" i="71"/>
  <c r="U18" i="71"/>
  <c r="U19" i="71"/>
  <c r="U20" i="71"/>
  <c r="U21" i="71"/>
  <c r="U22" i="71"/>
  <c r="U23" i="71"/>
  <c r="U24" i="71"/>
  <c r="U25" i="71"/>
  <c r="U26" i="71"/>
  <c r="U27" i="71"/>
  <c r="U28" i="71"/>
  <c r="U29" i="71"/>
  <c r="U30" i="71"/>
  <c r="U31" i="71"/>
  <c r="U32" i="71"/>
  <c r="U33" i="71"/>
  <c r="U34" i="71"/>
  <c r="U35" i="71"/>
  <c r="U36" i="71"/>
  <c r="B37" i="71"/>
  <c r="D37" i="71"/>
  <c r="E37" i="71"/>
  <c r="F37" i="71"/>
  <c r="G37" i="71"/>
  <c r="H37" i="71"/>
  <c r="I37" i="71"/>
  <c r="J37" i="71"/>
  <c r="K37" i="71"/>
  <c r="L37" i="71"/>
  <c r="M37" i="71"/>
  <c r="N37" i="71"/>
  <c r="O37" i="71"/>
  <c r="P37" i="71"/>
  <c r="Q37" i="71"/>
  <c r="R37" i="71"/>
  <c r="S37" i="71"/>
  <c r="T37" i="71"/>
  <c r="M10" i="70"/>
  <c r="N10" i="70"/>
  <c r="N34" i="70" s="1"/>
  <c r="Q10" i="70"/>
  <c r="M11" i="70"/>
  <c r="N11" i="70"/>
  <c r="Q11" i="70"/>
  <c r="M12" i="70"/>
  <c r="N12" i="70"/>
  <c r="Q12" i="70"/>
  <c r="M13" i="70"/>
  <c r="O13" i="70" s="1"/>
  <c r="N13" i="70"/>
  <c r="Q13" i="70"/>
  <c r="M14" i="70"/>
  <c r="N14" i="70"/>
  <c r="Q14" i="70"/>
  <c r="M15" i="70"/>
  <c r="N15" i="70"/>
  <c r="Q15" i="70"/>
  <c r="M16" i="70"/>
  <c r="N16" i="70"/>
  <c r="Q16" i="70"/>
  <c r="M17" i="70"/>
  <c r="O17" i="70" s="1"/>
  <c r="N17" i="70"/>
  <c r="Q17" i="70"/>
  <c r="M18" i="70"/>
  <c r="N18" i="70"/>
  <c r="Q18" i="70"/>
  <c r="M19" i="70"/>
  <c r="N19" i="70"/>
  <c r="Q19" i="70"/>
  <c r="M20" i="70"/>
  <c r="N20" i="70"/>
  <c r="Q20" i="70"/>
  <c r="M21" i="70"/>
  <c r="O21" i="70" s="1"/>
  <c r="N21" i="70"/>
  <c r="Q21" i="70"/>
  <c r="M22" i="70"/>
  <c r="N22" i="70"/>
  <c r="Q22" i="70"/>
  <c r="M23" i="70"/>
  <c r="N23" i="70"/>
  <c r="Q23" i="70"/>
  <c r="M24" i="70"/>
  <c r="N24" i="70"/>
  <c r="Q24" i="70"/>
  <c r="M25" i="70"/>
  <c r="O25" i="70" s="1"/>
  <c r="N25" i="70"/>
  <c r="Q25" i="70"/>
  <c r="M26" i="70"/>
  <c r="N26" i="70"/>
  <c r="Q26" i="70"/>
  <c r="M27" i="70"/>
  <c r="N27" i="70"/>
  <c r="Q27" i="70"/>
  <c r="M28" i="70"/>
  <c r="N28" i="70"/>
  <c r="Q28" i="70"/>
  <c r="M29" i="70"/>
  <c r="O29" i="70" s="1"/>
  <c r="N29" i="70"/>
  <c r="Q29" i="70"/>
  <c r="M30" i="70"/>
  <c r="N30" i="70"/>
  <c r="M31" i="70"/>
  <c r="N31" i="70"/>
  <c r="O31" i="70"/>
  <c r="M32" i="70"/>
  <c r="N32" i="70"/>
  <c r="O32" i="70"/>
  <c r="Q32" i="70"/>
  <c r="M33" i="70"/>
  <c r="N33" i="70"/>
  <c r="O33" i="70"/>
  <c r="Q33" i="70"/>
  <c r="C34" i="70"/>
  <c r="D34" i="70"/>
  <c r="E34" i="70"/>
  <c r="F34" i="70"/>
  <c r="G34" i="70"/>
  <c r="H34" i="70"/>
  <c r="I34" i="70"/>
  <c r="J34" i="70"/>
  <c r="K34" i="70"/>
  <c r="L34" i="70"/>
  <c r="P34" i="70"/>
  <c r="F19" i="68"/>
  <c r="C24" i="68"/>
  <c r="D24" i="68"/>
  <c r="E24" i="68"/>
  <c r="K20" i="67"/>
  <c r="L20" i="67"/>
  <c r="M20" i="67"/>
  <c r="N20" i="67"/>
  <c r="O20" i="67"/>
  <c r="K21" i="67"/>
  <c r="L21" i="67"/>
  <c r="M21" i="67"/>
  <c r="N21" i="67"/>
  <c r="O21" i="67"/>
  <c r="K22" i="67"/>
  <c r="L22" i="67"/>
  <c r="M22" i="67"/>
  <c r="N22" i="67"/>
  <c r="O22" i="67"/>
  <c r="K23" i="67"/>
  <c r="L23" i="67"/>
  <c r="M23" i="67"/>
  <c r="N23" i="67"/>
  <c r="O23" i="67"/>
  <c r="K24" i="67"/>
  <c r="L24" i="67"/>
  <c r="M24" i="67"/>
  <c r="N24" i="67"/>
  <c r="O24" i="67"/>
  <c r="K25" i="67"/>
  <c r="L25" i="67"/>
  <c r="M25" i="67"/>
  <c r="N25" i="67"/>
  <c r="O25" i="67"/>
  <c r="K27" i="67"/>
  <c r="L27" i="67"/>
  <c r="M27" i="67"/>
  <c r="N27" i="67"/>
  <c r="O27" i="67"/>
  <c r="C28" i="67"/>
  <c r="D28" i="67"/>
  <c r="E28" i="67"/>
  <c r="F28" i="67"/>
  <c r="G28" i="67"/>
  <c r="K28" i="67"/>
  <c r="L28" i="67"/>
  <c r="M28" i="67"/>
  <c r="N28" i="67"/>
  <c r="O28" i="67"/>
  <c r="E29" i="67"/>
  <c r="M19" i="67" s="1"/>
  <c r="F29" i="67"/>
  <c r="N19" i="67" s="1"/>
  <c r="K29" i="67"/>
  <c r="L29" i="67"/>
  <c r="M29" i="67"/>
  <c r="N29" i="67"/>
  <c r="O29" i="67"/>
  <c r="K30" i="67"/>
  <c r="L30" i="67"/>
  <c r="M30" i="67"/>
  <c r="N30" i="67"/>
  <c r="O30" i="67"/>
  <c r="K31" i="67"/>
  <c r="L31" i="67"/>
  <c r="M31" i="67"/>
  <c r="N31" i="67"/>
  <c r="O31" i="67"/>
  <c r="M32" i="67"/>
  <c r="N32" i="67"/>
  <c r="A133" i="67"/>
  <c r="A206" i="67" s="1"/>
  <c r="H5" i="66"/>
  <c r="J5" i="66"/>
  <c r="H6" i="66"/>
  <c r="J6" i="66"/>
  <c r="H7" i="66"/>
  <c r="J7" i="66"/>
  <c r="H8" i="66"/>
  <c r="H9" i="66"/>
  <c r="J9" i="66"/>
  <c r="H10" i="66"/>
  <c r="J10" i="66"/>
  <c r="H11" i="66"/>
  <c r="J11" i="66"/>
  <c r="H12" i="66"/>
  <c r="J12" i="66"/>
  <c r="H13" i="66"/>
  <c r="J13" i="66"/>
  <c r="H14" i="66"/>
  <c r="J14" i="66"/>
  <c r="H15" i="66"/>
  <c r="J15" i="66"/>
  <c r="H16" i="66"/>
  <c r="J16" i="66"/>
  <c r="H17" i="66"/>
  <c r="J17" i="66"/>
  <c r="H18" i="66"/>
  <c r="J18" i="66"/>
  <c r="H19" i="66"/>
  <c r="J19" i="66"/>
  <c r="H20" i="66"/>
  <c r="J20" i="66"/>
  <c r="H21" i="66"/>
  <c r="H22" i="66"/>
  <c r="J22" i="66"/>
  <c r="H23" i="66"/>
  <c r="J23" i="66"/>
  <c r="H24" i="66"/>
  <c r="J24" i="66"/>
  <c r="H25" i="66"/>
  <c r="J25" i="66"/>
  <c r="B26" i="66"/>
  <c r="C26" i="66"/>
  <c r="D26" i="66"/>
  <c r="E26" i="66"/>
  <c r="F26" i="66"/>
  <c r="G26" i="66"/>
  <c r="I26" i="66"/>
  <c r="B7" i="65"/>
  <c r="H7" i="65"/>
  <c r="C26" i="65"/>
  <c r="C27" i="65"/>
  <c r="C28" i="65"/>
  <c r="C30" i="65"/>
  <c r="C31" i="65"/>
  <c r="C32" i="65"/>
  <c r="C34" i="65"/>
  <c r="E51" i="63"/>
  <c r="F51" i="63"/>
  <c r="G51" i="63"/>
  <c r="H51" i="63"/>
  <c r="I51" i="63"/>
  <c r="J51" i="63"/>
  <c r="K51" i="63"/>
  <c r="L51" i="63"/>
  <c r="M51" i="63"/>
  <c r="N51" i="63"/>
  <c r="O51" i="63"/>
  <c r="P51" i="63"/>
  <c r="Q51" i="63"/>
  <c r="R51" i="63"/>
  <c r="S51" i="63"/>
  <c r="T51" i="63"/>
  <c r="U51" i="63"/>
  <c r="V51" i="63"/>
  <c r="W51" i="63"/>
  <c r="X51" i="63"/>
  <c r="Y51" i="63"/>
  <c r="Z51" i="63"/>
  <c r="AA51" i="63"/>
  <c r="AB51" i="63"/>
  <c r="AC51" i="63"/>
  <c r="AD51" i="63"/>
  <c r="B9" i="62"/>
  <c r="C9" i="62"/>
  <c r="D9" i="62"/>
  <c r="D36" i="62" s="1"/>
  <c r="E9" i="62"/>
  <c r="F9" i="62"/>
  <c r="G9" i="62"/>
  <c r="H9" i="62"/>
  <c r="I9" i="62"/>
  <c r="J9" i="62"/>
  <c r="K9" i="62"/>
  <c r="L9" i="62"/>
  <c r="M9" i="62"/>
  <c r="N9" i="62"/>
  <c r="O9" i="62"/>
  <c r="P9" i="62"/>
  <c r="Q9" i="62"/>
  <c r="R9" i="62"/>
  <c r="T9" i="62"/>
  <c r="U9" i="62"/>
  <c r="V9" i="62"/>
  <c r="W9" i="62"/>
  <c r="X9" i="62"/>
  <c r="Y9" i="62"/>
  <c r="Z9" i="62"/>
  <c r="AA9" i="62"/>
  <c r="AB9" i="62"/>
  <c r="AC9" i="62"/>
  <c r="AD9" i="62"/>
  <c r="B10" i="62"/>
  <c r="C10" i="62"/>
  <c r="D10" i="62"/>
  <c r="E10" i="62"/>
  <c r="F10" i="62"/>
  <c r="G10" i="62"/>
  <c r="H10" i="62"/>
  <c r="I10" i="62"/>
  <c r="J10" i="62"/>
  <c r="K10" i="62"/>
  <c r="L10" i="62"/>
  <c r="M10" i="62"/>
  <c r="N10" i="62"/>
  <c r="AC10" i="62" s="1"/>
  <c r="O10" i="62"/>
  <c r="AD10" i="62" s="1"/>
  <c r="P10" i="62"/>
  <c r="Q10" i="62"/>
  <c r="R10" i="62"/>
  <c r="T10" i="62"/>
  <c r="U10" i="62"/>
  <c r="V10" i="62"/>
  <c r="W10" i="62"/>
  <c r="X10" i="62"/>
  <c r="Y10" i="62"/>
  <c r="Z10" i="62"/>
  <c r="AA10" i="62"/>
  <c r="AB10" i="62"/>
  <c r="AE10" i="62"/>
  <c r="AF10" i="62"/>
  <c r="B11" i="62"/>
  <c r="C11" i="62"/>
  <c r="D11" i="62"/>
  <c r="E11" i="62"/>
  <c r="F11" i="62"/>
  <c r="G11" i="62"/>
  <c r="H11" i="62"/>
  <c r="I11" i="62"/>
  <c r="J11" i="62"/>
  <c r="K11" i="62"/>
  <c r="L11" i="62"/>
  <c r="M11" i="62"/>
  <c r="N11" i="62"/>
  <c r="O11" i="62"/>
  <c r="P11" i="62"/>
  <c r="AE11" i="62" s="1"/>
  <c r="Q11" i="62"/>
  <c r="AF11" i="62" s="1"/>
  <c r="R11" i="62"/>
  <c r="T11" i="62"/>
  <c r="U11" i="62"/>
  <c r="V11" i="62"/>
  <c r="W11" i="62"/>
  <c r="X11" i="62"/>
  <c r="Y11" i="62"/>
  <c r="Z11" i="62"/>
  <c r="AA11" i="62"/>
  <c r="AB11" i="62"/>
  <c r="AC11" i="62"/>
  <c r="AD11" i="62"/>
  <c r="B12" i="62"/>
  <c r="C12" i="62"/>
  <c r="D12" i="62"/>
  <c r="E12" i="62"/>
  <c r="F12" i="62"/>
  <c r="G12" i="62"/>
  <c r="H12" i="62"/>
  <c r="I12" i="62"/>
  <c r="J12" i="62"/>
  <c r="K12" i="62"/>
  <c r="L12" i="62"/>
  <c r="M12" i="62"/>
  <c r="N12" i="62"/>
  <c r="AC12" i="62" s="1"/>
  <c r="O12" i="62"/>
  <c r="AD12" i="62" s="1"/>
  <c r="P12" i="62"/>
  <c r="Q12" i="62"/>
  <c r="R12" i="62"/>
  <c r="T12" i="62"/>
  <c r="U12" i="62"/>
  <c r="V12" i="62"/>
  <c r="W12" i="62"/>
  <c r="X12" i="62"/>
  <c r="Y12" i="62"/>
  <c r="Z12" i="62"/>
  <c r="AA12" i="62"/>
  <c r="AB12" i="62"/>
  <c r="AE12" i="62"/>
  <c r="AF12" i="62"/>
  <c r="B13" i="62"/>
  <c r="C13" i="62"/>
  <c r="D13" i="62"/>
  <c r="E13" i="62"/>
  <c r="F13" i="62"/>
  <c r="G13" i="62"/>
  <c r="H13" i="62"/>
  <c r="I13" i="62"/>
  <c r="J13" i="62"/>
  <c r="K13" i="62"/>
  <c r="L13" i="62"/>
  <c r="M13" i="62"/>
  <c r="N13" i="62"/>
  <c r="O13" i="62"/>
  <c r="P13" i="62"/>
  <c r="AE13" i="62" s="1"/>
  <c r="Q13" i="62"/>
  <c r="AF13" i="62" s="1"/>
  <c r="R13" i="62"/>
  <c r="T13" i="62"/>
  <c r="U13" i="62"/>
  <c r="V13" i="62"/>
  <c r="W13" i="62"/>
  <c r="X13" i="62"/>
  <c r="Y13" i="62"/>
  <c r="Z13" i="62"/>
  <c r="AA13" i="62"/>
  <c r="AB13" i="62"/>
  <c r="AC13" i="62"/>
  <c r="AD13" i="62"/>
  <c r="B14" i="62"/>
  <c r="C14" i="62"/>
  <c r="D14" i="62"/>
  <c r="E14" i="62"/>
  <c r="F14" i="62"/>
  <c r="G14" i="62"/>
  <c r="H14" i="62"/>
  <c r="I14" i="62"/>
  <c r="J14" i="62"/>
  <c r="K14" i="62"/>
  <c r="L14" i="62"/>
  <c r="M14" i="62"/>
  <c r="N14" i="62"/>
  <c r="AC14" i="62" s="1"/>
  <c r="O14" i="62"/>
  <c r="AD14" i="62" s="1"/>
  <c r="P14" i="62"/>
  <c r="Q14" i="62"/>
  <c r="R14" i="62"/>
  <c r="T14" i="62"/>
  <c r="U14" i="62"/>
  <c r="V14" i="62"/>
  <c r="W14" i="62"/>
  <c r="X14" i="62"/>
  <c r="Y14" i="62"/>
  <c r="Z14" i="62"/>
  <c r="AA14" i="62"/>
  <c r="AB14" i="62"/>
  <c r="AE14" i="62"/>
  <c r="AF14" i="62"/>
  <c r="B15" i="62"/>
  <c r="C15" i="62"/>
  <c r="D15" i="62"/>
  <c r="E15" i="62"/>
  <c r="F15" i="62"/>
  <c r="G15" i="62"/>
  <c r="H15" i="62"/>
  <c r="I15" i="62"/>
  <c r="J15" i="62"/>
  <c r="K15" i="62"/>
  <c r="L15" i="62"/>
  <c r="M15" i="62"/>
  <c r="N15" i="62"/>
  <c r="O15" i="62"/>
  <c r="P15" i="62"/>
  <c r="AE15" i="62" s="1"/>
  <c r="Q15" i="62"/>
  <c r="AF15" i="62" s="1"/>
  <c r="R15" i="62"/>
  <c r="T15" i="62"/>
  <c r="U15" i="62"/>
  <c r="V15" i="62"/>
  <c r="W15" i="62"/>
  <c r="X15" i="62"/>
  <c r="Y15" i="62"/>
  <c r="Z15" i="62"/>
  <c r="AA15" i="62"/>
  <c r="AB15" i="62"/>
  <c r="AC15" i="62"/>
  <c r="AD15" i="62"/>
  <c r="B16" i="62"/>
  <c r="C16" i="62"/>
  <c r="D16" i="62"/>
  <c r="E16" i="62"/>
  <c r="F16" i="62"/>
  <c r="G16" i="62"/>
  <c r="H16" i="62"/>
  <c r="I16" i="62"/>
  <c r="J16" i="62"/>
  <c r="K16" i="62"/>
  <c r="L16" i="62"/>
  <c r="M16" i="62"/>
  <c r="N16" i="62"/>
  <c r="AC16" i="62" s="1"/>
  <c r="O16" i="62"/>
  <c r="AD16" i="62" s="1"/>
  <c r="P16" i="62"/>
  <c r="Q16" i="62"/>
  <c r="R16" i="62"/>
  <c r="T16" i="62"/>
  <c r="U16" i="62"/>
  <c r="V16" i="62"/>
  <c r="W16" i="62"/>
  <c r="X16" i="62"/>
  <c r="Y16" i="62"/>
  <c r="Z16" i="62"/>
  <c r="AA16" i="62"/>
  <c r="AB16" i="62"/>
  <c r="AE16" i="62"/>
  <c r="AF16" i="62"/>
  <c r="B17" i="62"/>
  <c r="C17" i="62"/>
  <c r="D17" i="62"/>
  <c r="E17" i="62"/>
  <c r="F17" i="62"/>
  <c r="G17" i="62"/>
  <c r="H17" i="62"/>
  <c r="I17" i="62"/>
  <c r="J17" i="62"/>
  <c r="K17" i="62"/>
  <c r="L17" i="62"/>
  <c r="M17" i="62"/>
  <c r="N17" i="62"/>
  <c r="O17" i="62"/>
  <c r="P17" i="62"/>
  <c r="AE17" i="62" s="1"/>
  <c r="Q17" i="62"/>
  <c r="AF17" i="62" s="1"/>
  <c r="R17" i="62"/>
  <c r="T17" i="62"/>
  <c r="U17" i="62"/>
  <c r="V17" i="62"/>
  <c r="W17" i="62"/>
  <c r="X17" i="62"/>
  <c r="Y17" i="62"/>
  <c r="Z17" i="62"/>
  <c r="AA17" i="62"/>
  <c r="AB17" i="62"/>
  <c r="AC17" i="62"/>
  <c r="AD17" i="62"/>
  <c r="B18" i="62"/>
  <c r="C18" i="62"/>
  <c r="D18" i="62"/>
  <c r="E18" i="62"/>
  <c r="F18" i="62"/>
  <c r="G18" i="62"/>
  <c r="H18" i="62"/>
  <c r="I18" i="62"/>
  <c r="J18" i="62"/>
  <c r="K18" i="62"/>
  <c r="L18" i="62"/>
  <c r="M18" i="62"/>
  <c r="N18" i="62"/>
  <c r="AC18" i="62" s="1"/>
  <c r="O18" i="62"/>
  <c r="AD18" i="62" s="1"/>
  <c r="P18" i="62"/>
  <c r="Q18" i="62"/>
  <c r="R18" i="62"/>
  <c r="T18" i="62"/>
  <c r="U18" i="62"/>
  <c r="V18" i="62"/>
  <c r="W18" i="62"/>
  <c r="X18" i="62"/>
  <c r="Y18" i="62"/>
  <c r="Z18" i="62"/>
  <c r="AA18" i="62"/>
  <c r="AB18" i="62"/>
  <c r="AE18" i="62"/>
  <c r="AF18" i="62"/>
  <c r="B19" i="62"/>
  <c r="C19" i="62"/>
  <c r="D19" i="62"/>
  <c r="E19" i="62"/>
  <c r="F19" i="62"/>
  <c r="G19" i="62"/>
  <c r="H19" i="62"/>
  <c r="I19" i="62"/>
  <c r="J19" i="62"/>
  <c r="K19" i="62"/>
  <c r="L19" i="62"/>
  <c r="M19" i="62"/>
  <c r="N19" i="62"/>
  <c r="O19" i="62"/>
  <c r="P19" i="62"/>
  <c r="AE19" i="62" s="1"/>
  <c r="Q19" i="62"/>
  <c r="AF19" i="62" s="1"/>
  <c r="R19" i="62"/>
  <c r="T19" i="62"/>
  <c r="U19" i="62"/>
  <c r="V19" i="62"/>
  <c r="V36" i="62" s="1"/>
  <c r="W19" i="62"/>
  <c r="X19" i="62"/>
  <c r="Y19" i="62"/>
  <c r="Z19" i="62"/>
  <c r="AA19" i="62"/>
  <c r="AB19" i="62"/>
  <c r="AC19" i="62"/>
  <c r="AD19" i="62"/>
  <c r="B20" i="62"/>
  <c r="C20" i="62"/>
  <c r="D20" i="62"/>
  <c r="E20" i="62"/>
  <c r="F20" i="62"/>
  <c r="G20" i="62"/>
  <c r="H20" i="62"/>
  <c r="I20" i="62"/>
  <c r="J20" i="62"/>
  <c r="K20" i="62"/>
  <c r="L20" i="62"/>
  <c r="M20" i="62"/>
  <c r="N20" i="62"/>
  <c r="AC20" i="62" s="1"/>
  <c r="O20" i="62"/>
  <c r="AD20" i="62" s="1"/>
  <c r="P20" i="62"/>
  <c r="Q20" i="62"/>
  <c r="R20" i="62"/>
  <c r="T20" i="62"/>
  <c r="U20" i="62"/>
  <c r="V20" i="62"/>
  <c r="W20" i="62"/>
  <c r="X20" i="62"/>
  <c r="Y20" i="62"/>
  <c r="Z20" i="62"/>
  <c r="AA20" i="62"/>
  <c r="AB20" i="62"/>
  <c r="AE20" i="62"/>
  <c r="AF20" i="62"/>
  <c r="B21" i="62"/>
  <c r="C21" i="62"/>
  <c r="D21" i="62"/>
  <c r="E21" i="62"/>
  <c r="F21" i="62"/>
  <c r="G21" i="62"/>
  <c r="H21" i="62"/>
  <c r="I21" i="62"/>
  <c r="J21" i="62"/>
  <c r="K21" i="62"/>
  <c r="L21" i="62"/>
  <c r="M21" i="62"/>
  <c r="N21" i="62"/>
  <c r="O21" i="62"/>
  <c r="P21" i="62"/>
  <c r="AE21" i="62" s="1"/>
  <c r="Q21" i="62"/>
  <c r="AF21" i="62" s="1"/>
  <c r="R21" i="62"/>
  <c r="T21" i="62"/>
  <c r="U21" i="62"/>
  <c r="V21" i="62"/>
  <c r="W21" i="62"/>
  <c r="X21" i="62"/>
  <c r="Y21" i="62"/>
  <c r="Z21" i="62"/>
  <c r="AA21" i="62"/>
  <c r="AB21" i="62"/>
  <c r="AC21" i="62"/>
  <c r="AD21" i="62"/>
  <c r="B22" i="62"/>
  <c r="C22" i="62"/>
  <c r="D22" i="62"/>
  <c r="E22" i="62"/>
  <c r="F22" i="62"/>
  <c r="G22" i="62"/>
  <c r="H22" i="62"/>
  <c r="I22" i="62"/>
  <c r="J22" i="62"/>
  <c r="K22" i="62"/>
  <c r="L22" i="62"/>
  <c r="M22" i="62"/>
  <c r="N22" i="62"/>
  <c r="AC22" i="62" s="1"/>
  <c r="O22" i="62"/>
  <c r="AD22" i="62" s="1"/>
  <c r="P22" i="62"/>
  <c r="Q22" i="62"/>
  <c r="R22" i="62"/>
  <c r="T22" i="62"/>
  <c r="U22" i="62"/>
  <c r="V22" i="62"/>
  <c r="W22" i="62"/>
  <c r="X22" i="62"/>
  <c r="Y22" i="62"/>
  <c r="Z22" i="62"/>
  <c r="AA22" i="62"/>
  <c r="AB22" i="62"/>
  <c r="AE22" i="62"/>
  <c r="AF22" i="62"/>
  <c r="B23" i="62"/>
  <c r="C23" i="62"/>
  <c r="D23" i="62"/>
  <c r="E23" i="62"/>
  <c r="F23" i="62"/>
  <c r="G23" i="62"/>
  <c r="H23" i="62"/>
  <c r="I23" i="62"/>
  <c r="J23" i="62"/>
  <c r="K23" i="62"/>
  <c r="L23" i="62"/>
  <c r="M23" i="62"/>
  <c r="N23" i="62"/>
  <c r="O23" i="62"/>
  <c r="P23" i="62"/>
  <c r="AE23" i="62" s="1"/>
  <c r="Q23" i="62"/>
  <c r="R23" i="62"/>
  <c r="T23" i="62"/>
  <c r="U23" i="62"/>
  <c r="V23" i="62"/>
  <c r="W23" i="62"/>
  <c r="X23" i="62"/>
  <c r="Y23" i="62"/>
  <c r="Z23" i="62"/>
  <c r="AA23" i="62"/>
  <c r="AB23" i="62"/>
  <c r="AC23" i="62"/>
  <c r="AF23" i="62"/>
  <c r="B24" i="62"/>
  <c r="C24" i="62"/>
  <c r="D24" i="62"/>
  <c r="E24" i="62"/>
  <c r="F24" i="62"/>
  <c r="G24" i="62"/>
  <c r="H24" i="62"/>
  <c r="I24" i="62"/>
  <c r="J24" i="62"/>
  <c r="K24" i="62"/>
  <c r="L24" i="62"/>
  <c r="M24" i="62"/>
  <c r="N24" i="62"/>
  <c r="O24" i="62"/>
  <c r="P24" i="62"/>
  <c r="AE24" i="62" s="1"/>
  <c r="Q24" i="62"/>
  <c r="AF24" i="62" s="1"/>
  <c r="R24" i="62"/>
  <c r="T24" i="62"/>
  <c r="U24" i="62"/>
  <c r="V24" i="62"/>
  <c r="W24" i="62"/>
  <c r="X24" i="62"/>
  <c r="Y24" i="62"/>
  <c r="Z24" i="62"/>
  <c r="AA24" i="62"/>
  <c r="AB24" i="62"/>
  <c r="AC24" i="62"/>
  <c r="AD24" i="62"/>
  <c r="B25" i="62"/>
  <c r="C25" i="62"/>
  <c r="D25" i="62"/>
  <c r="E25" i="62"/>
  <c r="F25" i="62"/>
  <c r="G25" i="62"/>
  <c r="H25" i="62"/>
  <c r="I25" i="62"/>
  <c r="J25" i="62"/>
  <c r="K25" i="62"/>
  <c r="L25" i="62"/>
  <c r="M25" i="62"/>
  <c r="N25" i="62"/>
  <c r="AC25" i="62" s="1"/>
  <c r="O25" i="62"/>
  <c r="AD25" i="62" s="1"/>
  <c r="P25" i="62"/>
  <c r="Q25" i="62"/>
  <c r="R25" i="62"/>
  <c r="T25" i="62"/>
  <c r="U25" i="62"/>
  <c r="V25" i="62"/>
  <c r="W25" i="62"/>
  <c r="X25" i="62"/>
  <c r="Y25" i="62"/>
  <c r="Z25" i="62"/>
  <c r="AA25" i="62"/>
  <c r="AB25" i="62"/>
  <c r="AE25" i="62"/>
  <c r="AF25" i="62"/>
  <c r="B26" i="62"/>
  <c r="C26" i="62"/>
  <c r="D26" i="62"/>
  <c r="E26" i="62"/>
  <c r="F26" i="62"/>
  <c r="G26" i="62"/>
  <c r="H26" i="62"/>
  <c r="I26" i="62"/>
  <c r="J26" i="62"/>
  <c r="K26" i="62"/>
  <c r="L26" i="62"/>
  <c r="M26" i="62"/>
  <c r="N26" i="62"/>
  <c r="O26" i="62"/>
  <c r="P26" i="62"/>
  <c r="AE26" i="62" s="1"/>
  <c r="Q26" i="62"/>
  <c r="AF26" i="62" s="1"/>
  <c r="R26" i="62"/>
  <c r="T26" i="62"/>
  <c r="U26" i="62"/>
  <c r="V26" i="62"/>
  <c r="W26" i="62"/>
  <c r="X26" i="62"/>
  <c r="Y26" i="62"/>
  <c r="Z26" i="62"/>
  <c r="AA26" i="62"/>
  <c r="AB26" i="62"/>
  <c r="AC26" i="62"/>
  <c r="AD26" i="62"/>
  <c r="B27" i="62"/>
  <c r="C27" i="62"/>
  <c r="D27" i="62"/>
  <c r="E27" i="62"/>
  <c r="F27" i="62"/>
  <c r="G27" i="62"/>
  <c r="H27" i="62"/>
  <c r="I27" i="62"/>
  <c r="J27" i="62"/>
  <c r="K27" i="62"/>
  <c r="L27" i="62"/>
  <c r="M27" i="62"/>
  <c r="N27" i="62"/>
  <c r="AC27" i="62" s="1"/>
  <c r="O27" i="62"/>
  <c r="AD27" i="62" s="1"/>
  <c r="P27" i="62"/>
  <c r="Q27" i="62"/>
  <c r="R27" i="62"/>
  <c r="T27" i="62"/>
  <c r="U27" i="62"/>
  <c r="V27" i="62"/>
  <c r="W27" i="62"/>
  <c r="X27" i="62"/>
  <c r="Y27" i="62"/>
  <c r="Z27" i="62"/>
  <c r="AA27" i="62"/>
  <c r="AB27" i="62"/>
  <c r="AE27" i="62"/>
  <c r="AF27" i="62"/>
  <c r="B28" i="62"/>
  <c r="C28" i="62"/>
  <c r="D28" i="62"/>
  <c r="E28" i="62"/>
  <c r="F28" i="62"/>
  <c r="G28" i="62"/>
  <c r="H28" i="62"/>
  <c r="I28" i="62"/>
  <c r="J28" i="62"/>
  <c r="K28" i="62"/>
  <c r="L28" i="62"/>
  <c r="M28" i="62"/>
  <c r="N28" i="62"/>
  <c r="O28" i="62"/>
  <c r="P28" i="62"/>
  <c r="AE28" i="62" s="1"/>
  <c r="Q28" i="62"/>
  <c r="AF28" i="62" s="1"/>
  <c r="R28" i="62"/>
  <c r="T28" i="62"/>
  <c r="U28" i="62"/>
  <c r="V28" i="62"/>
  <c r="W28" i="62"/>
  <c r="X28" i="62"/>
  <c r="Y28" i="62"/>
  <c r="Z28" i="62"/>
  <c r="AA28" i="62"/>
  <c r="AB28" i="62"/>
  <c r="AC28" i="62"/>
  <c r="AD28" i="62"/>
  <c r="B29" i="62"/>
  <c r="C29" i="62"/>
  <c r="D29" i="62"/>
  <c r="E29" i="62"/>
  <c r="F29" i="62"/>
  <c r="G29" i="62"/>
  <c r="H29" i="62"/>
  <c r="I29" i="62"/>
  <c r="J29" i="62"/>
  <c r="K29" i="62"/>
  <c r="L29" i="62"/>
  <c r="M29" i="62"/>
  <c r="N29" i="62"/>
  <c r="AC29" i="62" s="1"/>
  <c r="O29" i="62"/>
  <c r="AD29" i="62" s="1"/>
  <c r="P29" i="62"/>
  <c r="Q29" i="62"/>
  <c r="R29" i="62"/>
  <c r="T29" i="62"/>
  <c r="U29" i="62"/>
  <c r="V29" i="62"/>
  <c r="W29" i="62"/>
  <c r="X29" i="62"/>
  <c r="Y29" i="62"/>
  <c r="Z29" i="62"/>
  <c r="AA29" i="62"/>
  <c r="AB29" i="62"/>
  <c r="AE29" i="62"/>
  <c r="AF29" i="62"/>
  <c r="B30" i="62"/>
  <c r="C30" i="62"/>
  <c r="D30" i="62"/>
  <c r="E30" i="62"/>
  <c r="F30" i="62"/>
  <c r="G30" i="62"/>
  <c r="H30" i="62"/>
  <c r="I30" i="62"/>
  <c r="J30" i="62"/>
  <c r="K30" i="62"/>
  <c r="L30" i="62"/>
  <c r="M30" i="62"/>
  <c r="N30" i="62"/>
  <c r="O30" i="62"/>
  <c r="P30" i="62"/>
  <c r="AE30" i="62" s="1"/>
  <c r="Q30" i="62"/>
  <c r="AF30" i="62" s="1"/>
  <c r="R30" i="62"/>
  <c r="T30" i="62"/>
  <c r="U30" i="62"/>
  <c r="V30" i="62"/>
  <c r="W30" i="62"/>
  <c r="X30" i="62"/>
  <c r="Y30" i="62"/>
  <c r="AC30" i="62" s="1"/>
  <c r="Z30" i="62"/>
  <c r="AA30" i="62"/>
  <c r="AB30" i="62"/>
  <c r="AD30" i="62"/>
  <c r="B31" i="62"/>
  <c r="C31" i="62"/>
  <c r="D31" i="62"/>
  <c r="E31" i="62"/>
  <c r="F31" i="62"/>
  <c r="G31" i="62"/>
  <c r="H31" i="62"/>
  <c r="I31" i="62"/>
  <c r="J31" i="62"/>
  <c r="K31" i="62"/>
  <c r="L31" i="62"/>
  <c r="M31" i="62"/>
  <c r="N31" i="62"/>
  <c r="O31" i="62"/>
  <c r="AD31" i="62" s="1"/>
  <c r="P31" i="62"/>
  <c r="Q31" i="62"/>
  <c r="R31" i="62"/>
  <c r="T31" i="62"/>
  <c r="U31" i="62"/>
  <c r="V31" i="62"/>
  <c r="W31" i="62"/>
  <c r="X31" i="62"/>
  <c r="Y31" i="62"/>
  <c r="Z31" i="62"/>
  <c r="AB31" i="62"/>
  <c r="AC31" i="62"/>
  <c r="B32" i="62"/>
  <c r="C32" i="62"/>
  <c r="C36" i="62" s="1"/>
  <c r="D32" i="62"/>
  <c r="E32" i="62"/>
  <c r="F32" i="62"/>
  <c r="G32" i="62"/>
  <c r="H32" i="62"/>
  <c r="I32" i="62"/>
  <c r="J32" i="62"/>
  <c r="K32" i="62"/>
  <c r="L32" i="62"/>
  <c r="M32" i="62"/>
  <c r="N32" i="62"/>
  <c r="O32" i="62"/>
  <c r="AD32" i="62" s="1"/>
  <c r="P32" i="62"/>
  <c r="AE32" i="62" s="1"/>
  <c r="Q32" i="62"/>
  <c r="R32" i="62"/>
  <c r="T32" i="62"/>
  <c r="U32" i="62"/>
  <c r="V32" i="62"/>
  <c r="W32" i="62"/>
  <c r="X32" i="62"/>
  <c r="Y32" i="62"/>
  <c r="Z32" i="62"/>
  <c r="AA32" i="62"/>
  <c r="AB32" i="62"/>
  <c r="AC32" i="62"/>
  <c r="B33" i="62"/>
  <c r="C33" i="62"/>
  <c r="D33" i="62"/>
  <c r="E33" i="62"/>
  <c r="F33" i="62"/>
  <c r="G33" i="62"/>
  <c r="H33" i="62"/>
  <c r="I33" i="62"/>
  <c r="J33" i="62"/>
  <c r="K33" i="62"/>
  <c r="L33" i="62"/>
  <c r="M33" i="62"/>
  <c r="N33" i="62"/>
  <c r="AC33" i="62" s="1"/>
  <c r="O33" i="62"/>
  <c r="P33" i="62"/>
  <c r="Q33" i="62"/>
  <c r="AF33" i="62" s="1"/>
  <c r="R33" i="62"/>
  <c r="T33" i="62"/>
  <c r="U33" i="62"/>
  <c r="V33" i="62"/>
  <c r="AD33" i="62" s="1"/>
  <c r="W33" i="62"/>
  <c r="X33" i="62"/>
  <c r="Y33" i="62"/>
  <c r="Z33" i="62"/>
  <c r="AA33" i="62"/>
  <c r="AB33" i="62"/>
  <c r="B34" i="62"/>
  <c r="C34" i="62"/>
  <c r="D34" i="62"/>
  <c r="E34" i="62"/>
  <c r="F34" i="62"/>
  <c r="G34" i="62"/>
  <c r="H34" i="62"/>
  <c r="I34" i="62"/>
  <c r="J34" i="62"/>
  <c r="K34" i="62"/>
  <c r="L34" i="62"/>
  <c r="M34" i="62"/>
  <c r="N34" i="62"/>
  <c r="O34" i="62"/>
  <c r="AD34" i="62" s="1"/>
  <c r="P34" i="62"/>
  <c r="AE34" i="62" s="1"/>
  <c r="Q34" i="62"/>
  <c r="R34" i="62"/>
  <c r="T34" i="62"/>
  <c r="U34" i="62"/>
  <c r="V34" i="62"/>
  <c r="W34" i="62"/>
  <c r="X34" i="62"/>
  <c r="Y34" i="62"/>
  <c r="Z34" i="62"/>
  <c r="AA34" i="62"/>
  <c r="AB34" i="62"/>
  <c r="AC34" i="62"/>
  <c r="B35" i="62"/>
  <c r="C35" i="62"/>
  <c r="D35" i="62"/>
  <c r="E35" i="62"/>
  <c r="F35" i="62"/>
  <c r="G35" i="62"/>
  <c r="H35" i="62"/>
  <c r="I35" i="62"/>
  <c r="J35" i="62"/>
  <c r="K35" i="62"/>
  <c r="L35" i="62"/>
  <c r="M35" i="62"/>
  <c r="N35" i="62"/>
  <c r="AC35" i="62" s="1"/>
  <c r="O35" i="62"/>
  <c r="P35" i="62"/>
  <c r="Q35" i="62"/>
  <c r="AF35" i="62" s="1"/>
  <c r="R35" i="62"/>
  <c r="T35" i="62"/>
  <c r="U35" i="62"/>
  <c r="V35" i="62"/>
  <c r="AD35" i="62" s="1"/>
  <c r="W35" i="62"/>
  <c r="AE35" i="62" s="1"/>
  <c r="X35" i="62"/>
  <c r="Y35" i="62"/>
  <c r="Z35" i="62"/>
  <c r="AA35" i="62"/>
  <c r="AB35" i="62"/>
  <c r="M36" i="62"/>
  <c r="B39" i="62"/>
  <c r="C39" i="62"/>
  <c r="D39" i="62"/>
  <c r="F39" i="62"/>
  <c r="G39" i="62"/>
  <c r="H39" i="62"/>
  <c r="I39" i="62"/>
  <c r="J39" i="62"/>
  <c r="K39" i="62"/>
  <c r="L39" i="62"/>
  <c r="M39" i="62"/>
  <c r="N39" i="62"/>
  <c r="AC39" i="62" s="1"/>
  <c r="O39" i="62"/>
  <c r="AD39" i="62" s="1"/>
  <c r="P39" i="62"/>
  <c r="Q39" i="62"/>
  <c r="R39" i="62"/>
  <c r="T39" i="62"/>
  <c r="U39" i="62"/>
  <c r="V39" i="62"/>
  <c r="W39" i="62"/>
  <c r="X39" i="62"/>
  <c r="AE39" i="62"/>
  <c r="AF39" i="62"/>
  <c r="B40" i="62"/>
  <c r="C40" i="62"/>
  <c r="D40" i="62"/>
  <c r="F40" i="62"/>
  <c r="G40" i="62"/>
  <c r="H40" i="62"/>
  <c r="I40" i="62"/>
  <c r="J40" i="62"/>
  <c r="K40" i="62"/>
  <c r="L40" i="62"/>
  <c r="M40" i="62"/>
  <c r="N40" i="62"/>
  <c r="AC40" i="62" s="1"/>
  <c r="O40" i="62"/>
  <c r="P40" i="62"/>
  <c r="Q40" i="62"/>
  <c r="AF40" i="62" s="1"/>
  <c r="R40" i="62"/>
  <c r="T40" i="62"/>
  <c r="U40" i="62"/>
  <c r="V40" i="62"/>
  <c r="W40" i="62"/>
  <c r="X40" i="62"/>
  <c r="AD40" i="62"/>
  <c r="AE40" i="62"/>
  <c r="B41" i="62"/>
  <c r="C41" i="62"/>
  <c r="AD41" i="62" s="1"/>
  <c r="D41" i="62"/>
  <c r="F41" i="62"/>
  <c r="G41" i="62"/>
  <c r="H41" i="62"/>
  <c r="I41" i="62"/>
  <c r="J41" i="62"/>
  <c r="K41" i="62"/>
  <c r="L41" i="62"/>
  <c r="M41" i="62"/>
  <c r="N41" i="62"/>
  <c r="O41" i="62"/>
  <c r="P41" i="62"/>
  <c r="AE41" i="62" s="1"/>
  <c r="Q41" i="62"/>
  <c r="AF41" i="62" s="1"/>
  <c r="R41" i="62"/>
  <c r="T41" i="62"/>
  <c r="U41" i="62"/>
  <c r="V41" i="62"/>
  <c r="W41" i="62"/>
  <c r="X41" i="62"/>
  <c r="AC41" i="62"/>
  <c r="B42" i="62"/>
  <c r="C42" i="62"/>
  <c r="D42" i="62"/>
  <c r="F42" i="62"/>
  <c r="G42" i="62"/>
  <c r="H42" i="62"/>
  <c r="I42" i="62"/>
  <c r="J42" i="62"/>
  <c r="K42" i="62"/>
  <c r="L42" i="62"/>
  <c r="M42" i="62"/>
  <c r="N42" i="62"/>
  <c r="O42" i="62"/>
  <c r="P42" i="62"/>
  <c r="AE42" i="62" s="1"/>
  <c r="Q42" i="62"/>
  <c r="R42" i="62"/>
  <c r="T42" i="62"/>
  <c r="U42" i="62"/>
  <c r="V42" i="62"/>
  <c r="W42" i="62"/>
  <c r="X42" i="62"/>
  <c r="AC42" i="62"/>
  <c r="AF42" i="62"/>
  <c r="B43" i="62"/>
  <c r="C43" i="62"/>
  <c r="D43" i="62"/>
  <c r="F43" i="62"/>
  <c r="G43" i="62"/>
  <c r="H43" i="62"/>
  <c r="I43" i="62"/>
  <c r="J43" i="62"/>
  <c r="K43" i="62"/>
  <c r="L43" i="62"/>
  <c r="M43" i="62"/>
  <c r="N43" i="62"/>
  <c r="AC43" i="62" s="1"/>
  <c r="O43" i="62"/>
  <c r="AD43" i="62" s="1"/>
  <c r="P43" i="62"/>
  <c r="Q43" i="62"/>
  <c r="R43" i="62"/>
  <c r="T43" i="62"/>
  <c r="U43" i="62"/>
  <c r="V43" i="62"/>
  <c r="W43" i="62"/>
  <c r="X43" i="62"/>
  <c r="AE43" i="62"/>
  <c r="AF43" i="62"/>
  <c r="B44" i="62"/>
  <c r="C44" i="62"/>
  <c r="D44" i="62"/>
  <c r="F44" i="62"/>
  <c r="G44" i="62"/>
  <c r="H44" i="62"/>
  <c r="I44" i="62"/>
  <c r="J44" i="62"/>
  <c r="K44" i="62"/>
  <c r="L44" i="62"/>
  <c r="M44" i="62"/>
  <c r="N44" i="62"/>
  <c r="AC44" i="62" s="1"/>
  <c r="O44" i="62"/>
  <c r="P44" i="62"/>
  <c r="Q44" i="62"/>
  <c r="AF44" i="62" s="1"/>
  <c r="R44" i="62"/>
  <c r="T44" i="62"/>
  <c r="U44" i="62"/>
  <c r="V44" i="62"/>
  <c r="W44" i="62"/>
  <c r="X44" i="62"/>
  <c r="AD44" i="62"/>
  <c r="AE44" i="62"/>
  <c r="B45" i="62"/>
  <c r="C45" i="62"/>
  <c r="AD45" i="62" s="1"/>
  <c r="D45" i="62"/>
  <c r="F45" i="62"/>
  <c r="G45" i="62"/>
  <c r="H45" i="62"/>
  <c r="I45" i="62"/>
  <c r="J45" i="62"/>
  <c r="K45" i="62"/>
  <c r="L45" i="62"/>
  <c r="M45" i="62"/>
  <c r="N45" i="62"/>
  <c r="O45" i="62"/>
  <c r="P45" i="62"/>
  <c r="AE45" i="62" s="1"/>
  <c r="Q45" i="62"/>
  <c r="AF45" i="62" s="1"/>
  <c r="R45" i="62"/>
  <c r="T45" i="62"/>
  <c r="U45" i="62"/>
  <c r="V45" i="62"/>
  <c r="W45" i="62"/>
  <c r="X45" i="62"/>
  <c r="AC45" i="62"/>
  <c r="A46" i="62"/>
  <c r="B46" i="62"/>
  <c r="C46" i="62"/>
  <c r="D46" i="62"/>
  <c r="F46" i="62"/>
  <c r="G46" i="62"/>
  <c r="H46" i="62"/>
  <c r="I46" i="62"/>
  <c r="J46" i="62"/>
  <c r="K46" i="62"/>
  <c r="L46" i="62"/>
  <c r="M46" i="62"/>
  <c r="N46" i="62"/>
  <c r="O46" i="62"/>
  <c r="AD46" i="62" s="1"/>
  <c r="P46" i="62"/>
  <c r="Q46" i="62"/>
  <c r="R46" i="62"/>
  <c r="T46" i="62"/>
  <c r="U46" i="62"/>
  <c r="V46" i="62"/>
  <c r="W46" i="62"/>
  <c r="X46" i="62"/>
  <c r="AE46" i="62"/>
  <c r="AF46" i="62"/>
  <c r="B47" i="62"/>
  <c r="C47" i="62"/>
  <c r="D47" i="62"/>
  <c r="F47" i="62"/>
  <c r="G47" i="62"/>
  <c r="H47" i="62"/>
  <c r="I47" i="62"/>
  <c r="J47" i="62"/>
  <c r="K47" i="62"/>
  <c r="L47" i="62"/>
  <c r="M47" i="62"/>
  <c r="N47" i="62"/>
  <c r="AC47" i="62" s="1"/>
  <c r="O47" i="62"/>
  <c r="P47" i="62"/>
  <c r="Q47" i="62"/>
  <c r="R47" i="62"/>
  <c r="T47" i="62"/>
  <c r="U47" i="62"/>
  <c r="V47" i="62"/>
  <c r="W47" i="62"/>
  <c r="X47" i="62"/>
  <c r="AD47" i="62"/>
  <c r="AC9" i="61"/>
  <c r="AD9" i="61"/>
  <c r="AE9" i="61"/>
  <c r="AE36" i="61" s="1"/>
  <c r="AF9" i="61"/>
  <c r="AC10" i="61"/>
  <c r="AD10" i="61"/>
  <c r="AE10" i="61"/>
  <c r="AF10" i="61"/>
  <c r="AC11" i="61"/>
  <c r="AD11" i="61"/>
  <c r="AE11" i="61"/>
  <c r="AF11" i="61"/>
  <c r="AC12" i="61"/>
  <c r="AD12" i="61"/>
  <c r="AE12" i="61"/>
  <c r="AF12" i="61"/>
  <c r="AC13" i="61"/>
  <c r="AD13" i="61"/>
  <c r="AE13" i="61"/>
  <c r="AF13" i="61"/>
  <c r="AC14" i="61"/>
  <c r="AD14" i="61"/>
  <c r="AE14" i="61"/>
  <c r="AF14" i="61"/>
  <c r="AC15" i="61"/>
  <c r="AD15" i="61"/>
  <c r="AE15" i="61"/>
  <c r="AF15" i="61"/>
  <c r="AC16" i="61"/>
  <c r="AD16" i="61"/>
  <c r="AE16" i="61"/>
  <c r="AF16" i="61"/>
  <c r="AC17" i="61"/>
  <c r="AD17" i="61"/>
  <c r="AE17" i="61"/>
  <c r="AF17" i="61"/>
  <c r="AC18" i="61"/>
  <c r="AD18" i="61"/>
  <c r="AE18" i="61"/>
  <c r="AF18" i="61"/>
  <c r="AC19" i="61"/>
  <c r="AD19" i="61"/>
  <c r="AE19" i="61"/>
  <c r="AF19" i="61"/>
  <c r="AC20" i="61"/>
  <c r="AD20" i="61"/>
  <c r="AE20" i="61"/>
  <c r="AF20" i="61"/>
  <c r="AC21" i="61"/>
  <c r="AD21" i="61"/>
  <c r="AE21" i="61"/>
  <c r="AF21" i="61"/>
  <c r="AC22" i="61"/>
  <c r="AD22" i="61"/>
  <c r="AE22" i="61"/>
  <c r="AF22" i="61"/>
  <c r="AC23" i="61"/>
  <c r="AF23" i="61"/>
  <c r="AC24" i="61"/>
  <c r="AD24" i="61"/>
  <c r="AE24" i="61"/>
  <c r="AF24" i="61"/>
  <c r="AC25" i="61"/>
  <c r="AD25" i="61"/>
  <c r="AE25" i="61"/>
  <c r="AF25" i="61"/>
  <c r="AC26" i="61"/>
  <c r="AD26" i="61"/>
  <c r="AE26" i="61"/>
  <c r="AF26" i="61"/>
  <c r="AC27" i="61"/>
  <c r="AD27" i="61"/>
  <c r="AE27" i="61"/>
  <c r="AF27" i="61"/>
  <c r="AC28" i="61"/>
  <c r="AD28" i="61"/>
  <c r="AE28" i="61"/>
  <c r="AF28" i="61"/>
  <c r="AC29" i="61"/>
  <c r="AD29" i="61"/>
  <c r="AE29" i="61"/>
  <c r="AF29" i="61"/>
  <c r="AC30" i="61"/>
  <c r="AD30" i="61"/>
  <c r="AE30" i="61"/>
  <c r="AF30" i="61"/>
  <c r="AC31" i="61"/>
  <c r="AD31" i="61"/>
  <c r="AE31" i="61"/>
  <c r="AF31" i="61"/>
  <c r="AC32" i="61"/>
  <c r="AD32" i="61"/>
  <c r="AE32" i="61"/>
  <c r="AF32" i="61"/>
  <c r="AC33" i="61"/>
  <c r="AD33" i="61"/>
  <c r="AE33" i="61"/>
  <c r="AF33" i="61"/>
  <c r="AC34" i="61"/>
  <c r="AD34" i="61"/>
  <c r="AE34" i="61"/>
  <c r="AF34" i="61"/>
  <c r="AC35" i="61"/>
  <c r="AD35" i="61"/>
  <c r="AE35" i="61"/>
  <c r="AF35" i="61"/>
  <c r="E36" i="61"/>
  <c r="I36" i="61"/>
  <c r="J36" i="61"/>
  <c r="K36" i="61"/>
  <c r="L36" i="61"/>
  <c r="M36" i="61"/>
  <c r="Q36" i="61"/>
  <c r="R36" i="61"/>
  <c r="T36" i="61"/>
  <c r="U36" i="61"/>
  <c r="V36" i="61"/>
  <c r="W36" i="61"/>
  <c r="X36" i="61"/>
  <c r="Y36" i="61"/>
  <c r="Z36" i="61"/>
  <c r="AA36" i="61"/>
  <c r="AB36" i="61"/>
  <c r="AC39" i="61"/>
  <c r="AE39" i="61"/>
  <c r="AF39" i="61"/>
  <c r="AC40" i="61"/>
  <c r="AE40" i="61"/>
  <c r="AF40" i="61"/>
  <c r="AC41" i="61"/>
  <c r="AE41" i="61"/>
  <c r="AF41" i="61"/>
  <c r="AC42" i="61"/>
  <c r="AE42" i="61"/>
  <c r="AF42" i="61"/>
  <c r="AC43" i="61"/>
  <c r="AE43" i="61"/>
  <c r="AF43" i="61"/>
  <c r="AC44" i="61"/>
  <c r="AE44" i="61"/>
  <c r="AF44" i="61"/>
  <c r="AC45" i="61"/>
  <c r="AE45" i="61"/>
  <c r="AF45" i="61"/>
  <c r="A46" i="61"/>
  <c r="AC46" i="61"/>
  <c r="AE46" i="61"/>
  <c r="AF46" i="61"/>
  <c r="AC47" i="61"/>
  <c r="AF47" i="61"/>
  <c r="AC9" i="60"/>
  <c r="AD9" i="60"/>
  <c r="AE9" i="60"/>
  <c r="AF9" i="60"/>
  <c r="AC10" i="60"/>
  <c r="AD10" i="60"/>
  <c r="AE10" i="60"/>
  <c r="AF10" i="60"/>
  <c r="AC11" i="60"/>
  <c r="AD11" i="60"/>
  <c r="AE11" i="60"/>
  <c r="AF11" i="60"/>
  <c r="AC12" i="60"/>
  <c r="AD12" i="60"/>
  <c r="AE12" i="60"/>
  <c r="AF12" i="60"/>
  <c r="AC13" i="60"/>
  <c r="AD13" i="60"/>
  <c r="AE13" i="60"/>
  <c r="AF13" i="60"/>
  <c r="AC14" i="60"/>
  <c r="AD14" i="60"/>
  <c r="AE14" i="60"/>
  <c r="AF14" i="60"/>
  <c r="AC15" i="60"/>
  <c r="AD15" i="60"/>
  <c r="AE15" i="60"/>
  <c r="AF15" i="60"/>
  <c r="AC16" i="60"/>
  <c r="AD16" i="60"/>
  <c r="AE16" i="60"/>
  <c r="AF16" i="60"/>
  <c r="AC17" i="60"/>
  <c r="AD17" i="60"/>
  <c r="AE17" i="60"/>
  <c r="AF17" i="60"/>
  <c r="AC18" i="60"/>
  <c r="AD18" i="60"/>
  <c r="AE18" i="60"/>
  <c r="AF18" i="60"/>
  <c r="AC19" i="60"/>
  <c r="AD19" i="60"/>
  <c r="AE19" i="60"/>
  <c r="AF19" i="60"/>
  <c r="AC20" i="60"/>
  <c r="AD20" i="60"/>
  <c r="AE20" i="60"/>
  <c r="AF20" i="60"/>
  <c r="AC21" i="60"/>
  <c r="AD21" i="60"/>
  <c r="AE21" i="60"/>
  <c r="AF21" i="60"/>
  <c r="AC22" i="60"/>
  <c r="AD22" i="60"/>
  <c r="AE22" i="60"/>
  <c r="AF22" i="60"/>
  <c r="AC23" i="60"/>
  <c r="AF23" i="60"/>
  <c r="AF36" i="60" s="1"/>
  <c r="AC24" i="60"/>
  <c r="AD24" i="60"/>
  <c r="AE24" i="60"/>
  <c r="AF24" i="60"/>
  <c r="AC25" i="60"/>
  <c r="AD25" i="60"/>
  <c r="AE25" i="60"/>
  <c r="AF25" i="60"/>
  <c r="AC26" i="60"/>
  <c r="AD26" i="60"/>
  <c r="AE26" i="60"/>
  <c r="AF26" i="60"/>
  <c r="AC27" i="60"/>
  <c r="AD27" i="60"/>
  <c r="AE27" i="60"/>
  <c r="AF27" i="60"/>
  <c r="AC28" i="60"/>
  <c r="AD28" i="60"/>
  <c r="AE28" i="60"/>
  <c r="AF28" i="60"/>
  <c r="AC29" i="60"/>
  <c r="AD29" i="60"/>
  <c r="AE29" i="60"/>
  <c r="AF29" i="60"/>
  <c r="AC30" i="60"/>
  <c r="AD30" i="60"/>
  <c r="AE30" i="60"/>
  <c r="AF30" i="60"/>
  <c r="AC31" i="60"/>
  <c r="AD31" i="60"/>
  <c r="AE31" i="60"/>
  <c r="AF31" i="60"/>
  <c r="AC32" i="60"/>
  <c r="AD32" i="60"/>
  <c r="AE32" i="60"/>
  <c r="AF32" i="60"/>
  <c r="AC33" i="60"/>
  <c r="AD33" i="60"/>
  <c r="AE33" i="60"/>
  <c r="AF33" i="60"/>
  <c r="AC34" i="60"/>
  <c r="AD34" i="60"/>
  <c r="AE34" i="60"/>
  <c r="AF34" i="60"/>
  <c r="AC35" i="60"/>
  <c r="AD35" i="60"/>
  <c r="AE35" i="60"/>
  <c r="AF35" i="60"/>
  <c r="E36" i="60"/>
  <c r="I36" i="60"/>
  <c r="J36" i="60"/>
  <c r="K36" i="60"/>
  <c r="L36" i="60"/>
  <c r="M36" i="60"/>
  <c r="Q36" i="60"/>
  <c r="R36" i="60"/>
  <c r="T36" i="60"/>
  <c r="U36" i="60"/>
  <c r="V36" i="60"/>
  <c r="W36" i="60"/>
  <c r="X36" i="60"/>
  <c r="Y36" i="60"/>
  <c r="Z36" i="60"/>
  <c r="AA36" i="60"/>
  <c r="AB36" i="60"/>
  <c r="AE36" i="60"/>
  <c r="AC39" i="60"/>
  <c r="AD39" i="60"/>
  <c r="AE39" i="60"/>
  <c r="AF39" i="60"/>
  <c r="AC40" i="60"/>
  <c r="AD40" i="60"/>
  <c r="AE40" i="60"/>
  <c r="AF40" i="60"/>
  <c r="AC41" i="60"/>
  <c r="AD41" i="60"/>
  <c r="AE41" i="60"/>
  <c r="AF41" i="60"/>
  <c r="AC42" i="60"/>
  <c r="AD42" i="60"/>
  <c r="AE42" i="60"/>
  <c r="AF42" i="60"/>
  <c r="AC43" i="60"/>
  <c r="AD43" i="60"/>
  <c r="AE43" i="60"/>
  <c r="AF43" i="60"/>
  <c r="AC44" i="60"/>
  <c r="AD44" i="60"/>
  <c r="AE44" i="60"/>
  <c r="AF44" i="60"/>
  <c r="AC45" i="60"/>
  <c r="AD45" i="60"/>
  <c r="AE45" i="60"/>
  <c r="AF45" i="60"/>
  <c r="AC46" i="60"/>
  <c r="AD46" i="60"/>
  <c r="AE46" i="60"/>
  <c r="AF46" i="60"/>
  <c r="AC47" i="60"/>
  <c r="AF47" i="60"/>
  <c r="Y7" i="59"/>
  <c r="Y7" i="60" s="1"/>
  <c r="Y7" i="61" s="1"/>
  <c r="Y7" i="62" s="1"/>
  <c r="AC9" i="59"/>
  <c r="AD9" i="59"/>
  <c r="AE9" i="59"/>
  <c r="AF9" i="59"/>
  <c r="AC10" i="59"/>
  <c r="AD10" i="59"/>
  <c r="AE10" i="59"/>
  <c r="AF10" i="59"/>
  <c r="AC11" i="59"/>
  <c r="AD11" i="59"/>
  <c r="AE11" i="59"/>
  <c r="AF11" i="59"/>
  <c r="AC12" i="59"/>
  <c r="AD12" i="59"/>
  <c r="AE12" i="59"/>
  <c r="AF12" i="59"/>
  <c r="AC13" i="59"/>
  <c r="AD13" i="59"/>
  <c r="AE13" i="59"/>
  <c r="AF13" i="59"/>
  <c r="AC14" i="59"/>
  <c r="AD14" i="59"/>
  <c r="AE14" i="59"/>
  <c r="AF14" i="59"/>
  <c r="AC15" i="59"/>
  <c r="AD15" i="59"/>
  <c r="AE15" i="59"/>
  <c r="AF15" i="59"/>
  <c r="AC16" i="59"/>
  <c r="AD16" i="59"/>
  <c r="AE16" i="59"/>
  <c r="AF16" i="59"/>
  <c r="AC17" i="59"/>
  <c r="AD17" i="59"/>
  <c r="AE17" i="59"/>
  <c r="AF17" i="59"/>
  <c r="AC18" i="59"/>
  <c r="AD18" i="59"/>
  <c r="AE18" i="59"/>
  <c r="AF18" i="59"/>
  <c r="AC19" i="59"/>
  <c r="AD19" i="59"/>
  <c r="AE19" i="59"/>
  <c r="AF19" i="59"/>
  <c r="AC20" i="59"/>
  <c r="AD20" i="59"/>
  <c r="AE20" i="59"/>
  <c r="AF20" i="59"/>
  <c r="AC21" i="59"/>
  <c r="AD21" i="59"/>
  <c r="AE21" i="59"/>
  <c r="AF21" i="59"/>
  <c r="AC22" i="59"/>
  <c r="AD22" i="59"/>
  <c r="AE22" i="59"/>
  <c r="AF22" i="59"/>
  <c r="AC23" i="59"/>
  <c r="AF23" i="59"/>
  <c r="AC24" i="59"/>
  <c r="AD24" i="59"/>
  <c r="AE24" i="59"/>
  <c r="AF24" i="59"/>
  <c r="AC25" i="59"/>
  <c r="AD25" i="59"/>
  <c r="AE25" i="59"/>
  <c r="AF25" i="59"/>
  <c r="AC26" i="59"/>
  <c r="AD26" i="59"/>
  <c r="AE26" i="59"/>
  <c r="AF26" i="59"/>
  <c r="AC27" i="59"/>
  <c r="AD27" i="59"/>
  <c r="AE27" i="59"/>
  <c r="AF27" i="59"/>
  <c r="AC28" i="59"/>
  <c r="AD28" i="59"/>
  <c r="AE28" i="59"/>
  <c r="AF28" i="59"/>
  <c r="AC29" i="59"/>
  <c r="AD29" i="59"/>
  <c r="AE29" i="59"/>
  <c r="AF29" i="59"/>
  <c r="AC30" i="59"/>
  <c r="AD30" i="59"/>
  <c r="AE30" i="59"/>
  <c r="AF30" i="59"/>
  <c r="AC31" i="59"/>
  <c r="AD31" i="59"/>
  <c r="AE31" i="59"/>
  <c r="AF31" i="59"/>
  <c r="AC32" i="59"/>
  <c r="AD32" i="59"/>
  <c r="AE32" i="59"/>
  <c r="AF32" i="59"/>
  <c r="AC33" i="59"/>
  <c r="AD33" i="59"/>
  <c r="AE33" i="59"/>
  <c r="AF33" i="59"/>
  <c r="AC34" i="59"/>
  <c r="AD34" i="59"/>
  <c r="AE34" i="59"/>
  <c r="AF34" i="59"/>
  <c r="AC35" i="59"/>
  <c r="AD35" i="59"/>
  <c r="AE35" i="59"/>
  <c r="AF35" i="59"/>
  <c r="E36" i="59"/>
  <c r="I36" i="59"/>
  <c r="M36" i="59"/>
  <c r="Q36" i="59"/>
  <c r="R36" i="59"/>
  <c r="T36" i="59"/>
  <c r="U36" i="59"/>
  <c r="V36" i="59"/>
  <c r="W36" i="59"/>
  <c r="X36" i="59"/>
  <c r="Z36" i="59"/>
  <c r="AA36" i="59"/>
  <c r="AB36" i="59"/>
  <c r="AC36" i="59"/>
  <c r="AE36" i="59"/>
  <c r="AC39" i="59"/>
  <c r="AD39" i="59"/>
  <c r="AE39" i="59"/>
  <c r="AF39" i="59"/>
  <c r="AC40" i="59"/>
  <c r="AD40" i="59"/>
  <c r="AE40" i="59"/>
  <c r="AF40" i="59"/>
  <c r="AC41" i="59"/>
  <c r="AD41" i="59"/>
  <c r="AE41" i="59"/>
  <c r="AF41" i="59"/>
  <c r="AC42" i="59"/>
  <c r="AD42" i="59"/>
  <c r="AE42" i="59"/>
  <c r="AF42" i="59"/>
  <c r="AC43" i="59"/>
  <c r="AD43" i="59"/>
  <c r="AE43" i="59"/>
  <c r="AF43" i="59"/>
  <c r="AC44" i="59"/>
  <c r="AD44" i="59"/>
  <c r="AE44" i="59"/>
  <c r="AF44" i="59"/>
  <c r="AC45" i="59"/>
  <c r="AD45" i="59"/>
  <c r="AE45" i="59"/>
  <c r="AF45" i="59"/>
  <c r="AC46" i="59"/>
  <c r="AD46" i="59"/>
  <c r="AE46" i="59"/>
  <c r="AF46" i="59"/>
  <c r="AC47" i="59"/>
  <c r="AD47" i="59"/>
  <c r="AE47" i="59"/>
  <c r="AF47" i="59"/>
  <c r="AC9" i="58"/>
  <c r="AD9" i="58"/>
  <c r="AE9" i="58"/>
  <c r="AF9" i="58"/>
  <c r="AC10" i="58"/>
  <c r="AD10" i="58"/>
  <c r="AE10" i="58"/>
  <c r="AF10" i="58"/>
  <c r="AC11" i="58"/>
  <c r="AD11" i="58"/>
  <c r="AE11" i="58"/>
  <c r="AF11" i="58"/>
  <c r="AC12" i="58"/>
  <c r="AD12" i="58"/>
  <c r="AE12" i="58"/>
  <c r="AF12" i="58"/>
  <c r="AC13" i="58"/>
  <c r="AD13" i="58"/>
  <c r="AE13" i="58"/>
  <c r="AF13" i="58"/>
  <c r="AC14" i="58"/>
  <c r="AD14" i="58"/>
  <c r="AE14" i="58"/>
  <c r="AF14" i="58"/>
  <c r="AC15" i="58"/>
  <c r="AD15" i="58"/>
  <c r="AE15" i="58"/>
  <c r="AF15" i="58"/>
  <c r="AC16" i="58"/>
  <c r="AD16" i="58"/>
  <c r="AE16" i="58"/>
  <c r="AF16" i="58"/>
  <c r="AC17" i="58"/>
  <c r="AD17" i="58"/>
  <c r="AE17" i="58"/>
  <c r="AF17" i="58"/>
  <c r="AC18" i="58"/>
  <c r="AD18" i="58"/>
  <c r="AE18" i="58"/>
  <c r="AF18" i="58"/>
  <c r="AC19" i="58"/>
  <c r="AD19" i="58"/>
  <c r="AE19" i="58"/>
  <c r="AF19" i="58"/>
  <c r="AC20" i="58"/>
  <c r="AD20" i="58"/>
  <c r="AE20" i="58"/>
  <c r="AF20" i="58"/>
  <c r="AC21" i="58"/>
  <c r="AD21" i="58"/>
  <c r="AE21" i="58"/>
  <c r="AF21" i="58"/>
  <c r="AC22" i="58"/>
  <c r="AD22" i="58"/>
  <c r="AE22" i="58"/>
  <c r="AF22" i="58"/>
  <c r="AC23" i="58"/>
  <c r="AF23" i="58"/>
  <c r="AC24" i="58"/>
  <c r="AC36" i="58" s="1"/>
  <c r="AD24" i="58"/>
  <c r="AE24" i="58"/>
  <c r="AF24" i="58"/>
  <c r="AC25" i="58"/>
  <c r="AD25" i="58"/>
  <c r="AE25" i="58"/>
  <c r="AF25" i="58"/>
  <c r="AC26" i="58"/>
  <c r="AD26" i="58"/>
  <c r="AE26" i="58"/>
  <c r="AF26" i="58"/>
  <c r="AC27" i="58"/>
  <c r="AD27" i="58"/>
  <c r="AE27" i="58"/>
  <c r="AF27" i="58"/>
  <c r="AC28" i="58"/>
  <c r="AD28" i="58"/>
  <c r="AE28" i="58"/>
  <c r="AF28" i="58"/>
  <c r="AC29" i="58"/>
  <c r="AE29" i="58"/>
  <c r="AF29" i="58"/>
  <c r="AC30" i="58"/>
  <c r="AD30" i="58"/>
  <c r="AE30" i="58"/>
  <c r="AF30" i="58"/>
  <c r="AC31" i="58"/>
  <c r="AE31" i="58"/>
  <c r="AF31" i="58"/>
  <c r="AC32" i="58"/>
  <c r="AD32" i="58"/>
  <c r="AE32" i="58"/>
  <c r="AF32" i="58"/>
  <c r="AC33" i="58"/>
  <c r="AD33" i="58"/>
  <c r="AE33" i="58"/>
  <c r="AF33" i="58"/>
  <c r="AC34" i="58"/>
  <c r="AD34" i="58"/>
  <c r="AE34" i="58"/>
  <c r="AF34" i="58"/>
  <c r="AC35" i="58"/>
  <c r="AD35" i="58"/>
  <c r="AE35" i="58"/>
  <c r="AF35" i="58"/>
  <c r="E36" i="58"/>
  <c r="I36" i="58"/>
  <c r="M36" i="58"/>
  <c r="Q36" i="58"/>
  <c r="T36" i="58"/>
  <c r="U36" i="58"/>
  <c r="V36" i="58"/>
  <c r="W36" i="58"/>
  <c r="X36" i="58"/>
  <c r="AD36" i="58"/>
  <c r="AC39" i="58"/>
  <c r="AD39" i="58"/>
  <c r="AE39" i="58"/>
  <c r="AF39" i="58"/>
  <c r="AC40" i="58"/>
  <c r="AD40" i="58"/>
  <c r="AE40" i="58"/>
  <c r="AF40" i="58"/>
  <c r="AC41" i="58"/>
  <c r="AD41" i="58"/>
  <c r="AE41" i="58"/>
  <c r="AF41" i="58"/>
  <c r="AC42" i="58"/>
  <c r="AD42" i="58"/>
  <c r="AE42" i="58"/>
  <c r="AF42" i="58"/>
  <c r="AC43" i="58"/>
  <c r="AD43" i="58"/>
  <c r="AE43" i="58"/>
  <c r="AF43" i="58"/>
  <c r="AC44" i="58"/>
  <c r="AD44" i="58"/>
  <c r="AE44" i="58"/>
  <c r="AF44" i="58"/>
  <c r="AC45" i="58"/>
  <c r="AD45" i="58"/>
  <c r="AE45" i="58"/>
  <c r="AF45" i="58"/>
  <c r="AC46" i="58"/>
  <c r="AD46" i="58"/>
  <c r="AE46" i="58"/>
  <c r="AF46" i="58"/>
  <c r="AC47" i="58"/>
  <c r="AD47" i="58"/>
  <c r="AE47" i="58"/>
  <c r="AF47" i="58"/>
  <c r="AH8" i="57"/>
  <c r="AI8" i="57"/>
  <c r="AJ8" i="57"/>
  <c r="AH9" i="57"/>
  <c r="AI9" i="57"/>
  <c r="AJ9" i="57"/>
  <c r="K10" i="57"/>
  <c r="L10" i="57"/>
  <c r="M10" i="57"/>
  <c r="N10" i="57"/>
  <c r="AH11" i="57"/>
  <c r="AI11" i="57"/>
  <c r="AJ11" i="57"/>
  <c r="AH12" i="57"/>
  <c r="AI12" i="57"/>
  <c r="AJ12" i="57"/>
  <c r="AH13" i="57"/>
  <c r="AJ13" i="57"/>
  <c r="K14" i="57"/>
  <c r="L14" i="57"/>
  <c r="M14" i="57"/>
  <c r="N14" i="57"/>
  <c r="AG14" i="57"/>
  <c r="AD18" i="57"/>
  <c r="AH15" i="57"/>
  <c r="AI15" i="57"/>
  <c r="AJ15" i="57"/>
  <c r="AH16" i="57"/>
  <c r="AI16" i="57"/>
  <c r="AH17" i="57"/>
  <c r="AI17" i="57"/>
  <c r="K18" i="57"/>
  <c r="L18" i="57"/>
  <c r="M18" i="57"/>
  <c r="M27" i="57" s="1"/>
  <c r="N18" i="57"/>
  <c r="N27" i="57" s="1"/>
  <c r="AD21" i="57"/>
  <c r="AH19" i="57"/>
  <c r="AI19" i="57"/>
  <c r="AJ19" i="57"/>
  <c r="AH20" i="57"/>
  <c r="AI20" i="57"/>
  <c r="AJ20" i="57"/>
  <c r="K21" i="57"/>
  <c r="K27" i="57" s="1"/>
  <c r="L21" i="57"/>
  <c r="M21" i="57"/>
  <c r="N21" i="57"/>
  <c r="Z21" i="57"/>
  <c r="AH22" i="57"/>
  <c r="AI22" i="57"/>
  <c r="AJ22" i="57"/>
  <c r="AH23" i="57"/>
  <c r="AJ23" i="57"/>
  <c r="AH24" i="57"/>
  <c r="AI24" i="57"/>
  <c r="AJ24" i="57"/>
  <c r="AJ25" i="57"/>
  <c r="AH26" i="57"/>
  <c r="AI26" i="57"/>
  <c r="AJ26" i="57"/>
  <c r="L27" i="57"/>
  <c r="C28" i="57"/>
  <c r="D28" i="57"/>
  <c r="E28" i="57"/>
  <c r="G28" i="57"/>
  <c r="H28" i="57"/>
  <c r="I28" i="57"/>
  <c r="L28" i="57"/>
  <c r="O28" i="57"/>
  <c r="P28" i="57"/>
  <c r="Q28" i="57"/>
  <c r="S28" i="57"/>
  <c r="T28" i="57"/>
  <c r="U28" i="57"/>
  <c r="W28" i="57"/>
  <c r="X28" i="57"/>
  <c r="Y28" i="57"/>
  <c r="AA28" i="57"/>
  <c r="AB28" i="57"/>
  <c r="AC28" i="57"/>
  <c r="S8" i="56"/>
  <c r="T8" i="56"/>
  <c r="U8" i="56"/>
  <c r="V8" i="56"/>
  <c r="S9" i="56"/>
  <c r="T9" i="56"/>
  <c r="U9" i="56"/>
  <c r="V9" i="56"/>
  <c r="S10" i="56"/>
  <c r="T10" i="56"/>
  <c r="U10" i="56"/>
  <c r="V10" i="56"/>
  <c r="U11" i="56"/>
  <c r="U13" i="56" s="1"/>
  <c r="V11" i="56"/>
  <c r="S12" i="56"/>
  <c r="T12" i="56"/>
  <c r="U12" i="56"/>
  <c r="V12" i="56"/>
  <c r="F13" i="56"/>
  <c r="J13" i="56"/>
  <c r="N13" i="56"/>
  <c r="N22" i="56" s="1"/>
  <c r="R13" i="56"/>
  <c r="S14" i="56"/>
  <c r="T14" i="56"/>
  <c r="U14" i="56"/>
  <c r="V14" i="56"/>
  <c r="U15" i="56"/>
  <c r="V15" i="56"/>
  <c r="U16" i="56"/>
  <c r="V16" i="56"/>
  <c r="F17" i="56"/>
  <c r="J17" i="56"/>
  <c r="N17" i="56"/>
  <c r="R17" i="56"/>
  <c r="S17" i="56"/>
  <c r="T17" i="56"/>
  <c r="U17" i="56"/>
  <c r="V17" i="56"/>
  <c r="S18" i="56"/>
  <c r="T18" i="56"/>
  <c r="U18" i="56"/>
  <c r="V18" i="56"/>
  <c r="V20" i="56" s="1"/>
  <c r="U19" i="56"/>
  <c r="V19" i="56"/>
  <c r="F20" i="56"/>
  <c r="J20" i="56"/>
  <c r="N20" i="56"/>
  <c r="R20" i="56"/>
  <c r="S20" i="56"/>
  <c r="T20" i="56"/>
  <c r="U20" i="56"/>
  <c r="S21" i="56"/>
  <c r="T21" i="56"/>
  <c r="U21" i="56"/>
  <c r="S23" i="56"/>
  <c r="T23" i="56"/>
  <c r="U23" i="56"/>
  <c r="V23" i="56"/>
  <c r="S24" i="56"/>
  <c r="T24" i="56"/>
  <c r="U24" i="56"/>
  <c r="V24" i="56"/>
  <c r="S25" i="56"/>
  <c r="T25" i="56"/>
  <c r="U25" i="56"/>
  <c r="V25" i="56"/>
  <c r="S26" i="56"/>
  <c r="T26" i="56"/>
  <c r="U26" i="56"/>
  <c r="V26" i="56"/>
  <c r="S27" i="56"/>
  <c r="T27" i="56"/>
  <c r="U27" i="56"/>
  <c r="V27" i="56"/>
  <c r="F28" i="56"/>
  <c r="J28" i="56"/>
  <c r="N28" i="56"/>
  <c r="R28" i="56"/>
  <c r="S28" i="56"/>
  <c r="T28" i="56"/>
  <c r="U28" i="56"/>
  <c r="V28" i="56"/>
  <c r="S29" i="56"/>
  <c r="T29" i="56"/>
  <c r="U29" i="56"/>
  <c r="V29" i="56"/>
  <c r="U30" i="56"/>
  <c r="U33" i="56" s="1"/>
  <c r="V30" i="56"/>
  <c r="V33" i="56" s="1"/>
  <c r="U31" i="56"/>
  <c r="V31" i="56"/>
  <c r="S32" i="56"/>
  <c r="T32" i="56"/>
  <c r="U32" i="56"/>
  <c r="V32" i="56"/>
  <c r="F33" i="56"/>
  <c r="J33" i="56"/>
  <c r="N33" i="56"/>
  <c r="R33" i="56"/>
  <c r="S33" i="56"/>
  <c r="T33" i="56"/>
  <c r="S34" i="56"/>
  <c r="T34" i="56"/>
  <c r="U34" i="56"/>
  <c r="V34" i="56"/>
  <c r="S35" i="56"/>
  <c r="T35" i="56"/>
  <c r="U35" i="56"/>
  <c r="V35" i="56"/>
  <c r="U36" i="56"/>
  <c r="V36" i="56"/>
  <c r="F37" i="56"/>
  <c r="J37" i="56"/>
  <c r="N37" i="56"/>
  <c r="R37" i="56"/>
  <c r="U37" i="56"/>
  <c r="V37" i="56"/>
  <c r="S38" i="56"/>
  <c r="T38" i="56"/>
  <c r="U38" i="56"/>
  <c r="V38" i="56"/>
  <c r="S39" i="56"/>
  <c r="T39" i="56"/>
  <c r="U39" i="56"/>
  <c r="V39" i="56"/>
  <c r="S40" i="56"/>
  <c r="S42" i="56" s="1"/>
  <c r="T40" i="56"/>
  <c r="T42" i="56" s="1"/>
  <c r="U40" i="56"/>
  <c r="V40" i="56"/>
  <c r="U41" i="56"/>
  <c r="V41" i="56"/>
  <c r="F42" i="56"/>
  <c r="C43" i="56"/>
  <c r="C44" i="56" s="1"/>
  <c r="D43" i="56"/>
  <c r="E43" i="56"/>
  <c r="E44" i="56" s="1"/>
  <c r="G43" i="56"/>
  <c r="G44" i="56" s="1"/>
  <c r="H43" i="56"/>
  <c r="H44" i="56" s="1"/>
  <c r="I43" i="56"/>
  <c r="K43" i="56"/>
  <c r="K44" i="56" s="1"/>
  <c r="L43" i="56"/>
  <c r="M43" i="56"/>
  <c r="M44" i="56" s="1"/>
  <c r="O43" i="56"/>
  <c r="O44" i="56" s="1"/>
  <c r="P43" i="56"/>
  <c r="P44" i="56" s="1"/>
  <c r="Q43" i="56"/>
  <c r="D44" i="56"/>
  <c r="I44" i="56"/>
  <c r="L44" i="56"/>
  <c r="Q44" i="56"/>
  <c r="C8" i="55"/>
  <c r="D8" i="55"/>
  <c r="E8" i="55"/>
  <c r="F8" i="55"/>
  <c r="C9" i="55"/>
  <c r="D9" i="55"/>
  <c r="E9" i="55"/>
  <c r="F9" i="55"/>
  <c r="G9" i="55"/>
  <c r="H9" i="55"/>
  <c r="AB9" i="55" s="1"/>
  <c r="I9" i="55"/>
  <c r="AC9" i="55" s="1"/>
  <c r="K9" i="55"/>
  <c r="L9" i="55"/>
  <c r="M9" i="55"/>
  <c r="N9" i="55"/>
  <c r="O9" i="55"/>
  <c r="P9" i="55"/>
  <c r="Q9" i="55"/>
  <c r="R9" i="55"/>
  <c r="S9" i="55"/>
  <c r="T9" i="55"/>
  <c r="U9" i="55"/>
  <c r="V9" i="55"/>
  <c r="W9" i="55"/>
  <c r="AA9" i="55" s="1"/>
  <c r="X9" i="55"/>
  <c r="Y9" i="55"/>
  <c r="Z9" i="55"/>
  <c r="C10" i="55"/>
  <c r="D10" i="55"/>
  <c r="E10" i="55"/>
  <c r="F10" i="55"/>
  <c r="G10" i="55"/>
  <c r="AA10" i="55" s="1"/>
  <c r="H10" i="55"/>
  <c r="I10" i="55"/>
  <c r="K10" i="55"/>
  <c r="L10" i="55"/>
  <c r="M10" i="55"/>
  <c r="N10" i="55"/>
  <c r="O10" i="55"/>
  <c r="P10" i="55"/>
  <c r="Q10" i="55"/>
  <c r="R10" i="55"/>
  <c r="S10" i="55"/>
  <c r="T10" i="55"/>
  <c r="U10" i="55"/>
  <c r="V10" i="55"/>
  <c r="W10" i="55"/>
  <c r="X10" i="55"/>
  <c r="Y10" i="55"/>
  <c r="AC10" i="55" s="1"/>
  <c r="Z10" i="55"/>
  <c r="AB10" i="55"/>
  <c r="C11" i="55"/>
  <c r="D11" i="55"/>
  <c r="E11" i="55"/>
  <c r="F11" i="55"/>
  <c r="G11" i="55"/>
  <c r="H11" i="55"/>
  <c r="AB11" i="55" s="1"/>
  <c r="I11" i="55"/>
  <c r="AC11" i="55" s="1"/>
  <c r="K11" i="55"/>
  <c r="L11" i="55"/>
  <c r="M11" i="55"/>
  <c r="N11" i="55"/>
  <c r="O11" i="55"/>
  <c r="P11" i="55"/>
  <c r="Q11" i="55"/>
  <c r="R11" i="55"/>
  <c r="S11" i="55"/>
  <c r="T11" i="55"/>
  <c r="U11" i="55"/>
  <c r="V11" i="55"/>
  <c r="W11" i="55"/>
  <c r="X11" i="55"/>
  <c r="Y11" i="55"/>
  <c r="Z11" i="55"/>
  <c r="AD11" i="55" s="1"/>
  <c r="AA11" i="55"/>
  <c r="C12" i="55"/>
  <c r="D12" i="55"/>
  <c r="E12" i="55"/>
  <c r="F12" i="55"/>
  <c r="AD12" i="55" s="1"/>
  <c r="G12" i="55"/>
  <c r="AA12" i="55" s="1"/>
  <c r="H12" i="55"/>
  <c r="I12" i="55"/>
  <c r="AC12" i="55" s="1"/>
  <c r="K12" i="55"/>
  <c r="L12" i="55"/>
  <c r="M12" i="55"/>
  <c r="N12" i="55"/>
  <c r="O12" i="55"/>
  <c r="P12" i="55"/>
  <c r="Q12" i="55"/>
  <c r="R12" i="55"/>
  <c r="S12" i="55"/>
  <c r="T12" i="55"/>
  <c r="U12" i="55"/>
  <c r="V12" i="55"/>
  <c r="W12" i="55"/>
  <c r="X12" i="55"/>
  <c r="AB12" i="55" s="1"/>
  <c r="Y12" i="55"/>
  <c r="Z12" i="55"/>
  <c r="C14" i="55"/>
  <c r="D14" i="55"/>
  <c r="E14" i="55"/>
  <c r="F14" i="55"/>
  <c r="AD14" i="55" s="1"/>
  <c r="G14" i="55"/>
  <c r="AA14" i="55" s="1"/>
  <c r="H14" i="55"/>
  <c r="I14" i="55"/>
  <c r="K14" i="55"/>
  <c r="L14" i="55"/>
  <c r="M14" i="55"/>
  <c r="N14" i="55"/>
  <c r="O14" i="55"/>
  <c r="P14" i="55"/>
  <c r="Q14" i="55"/>
  <c r="R14" i="55"/>
  <c r="S14" i="55"/>
  <c r="T14" i="55"/>
  <c r="T17" i="55" s="1"/>
  <c r="U14" i="55"/>
  <c r="V14" i="55"/>
  <c r="W14" i="55"/>
  <c r="X14" i="55"/>
  <c r="X17" i="55" s="1"/>
  <c r="Y14" i="55"/>
  <c r="Z14" i="55"/>
  <c r="AC14" i="55"/>
  <c r="C15" i="55"/>
  <c r="D15" i="55"/>
  <c r="E15" i="55"/>
  <c r="F15" i="55"/>
  <c r="G15" i="55"/>
  <c r="AA15" i="55" s="1"/>
  <c r="H15" i="55"/>
  <c r="AB15" i="55" s="1"/>
  <c r="I15" i="55"/>
  <c r="K15" i="55"/>
  <c r="L15" i="55"/>
  <c r="M15" i="55"/>
  <c r="N15" i="55"/>
  <c r="O15" i="55"/>
  <c r="P15" i="55"/>
  <c r="Q15" i="55"/>
  <c r="R15" i="55"/>
  <c r="S15" i="55"/>
  <c r="T15" i="55"/>
  <c r="U15" i="55"/>
  <c r="V15" i="55"/>
  <c r="V17" i="55" s="1"/>
  <c r="W15" i="55"/>
  <c r="X15" i="55"/>
  <c r="Y15" i="55"/>
  <c r="Z15" i="55"/>
  <c r="Z17" i="55" s="1"/>
  <c r="AC15" i="55"/>
  <c r="C16" i="55"/>
  <c r="D16" i="55"/>
  <c r="E16" i="55"/>
  <c r="F16" i="55"/>
  <c r="F17" i="55" s="1"/>
  <c r="G16" i="55"/>
  <c r="H16" i="55"/>
  <c r="I16" i="55"/>
  <c r="AC16" i="55" s="1"/>
  <c r="K16" i="55"/>
  <c r="L16" i="55"/>
  <c r="M16" i="55"/>
  <c r="N16" i="55"/>
  <c r="O16" i="55"/>
  <c r="O17" i="55" s="1"/>
  <c r="P16" i="55"/>
  <c r="Q16" i="55"/>
  <c r="R16" i="55"/>
  <c r="S16" i="55"/>
  <c r="T16" i="55"/>
  <c r="U16" i="55"/>
  <c r="V16" i="55"/>
  <c r="W16" i="55"/>
  <c r="AA16" i="55" s="1"/>
  <c r="X16" i="55"/>
  <c r="Y16" i="55"/>
  <c r="Z16" i="55"/>
  <c r="AB16" i="55"/>
  <c r="Q17" i="55"/>
  <c r="U17" i="55"/>
  <c r="Y17" i="55"/>
  <c r="C18" i="55"/>
  <c r="D18" i="55"/>
  <c r="E18" i="55"/>
  <c r="F18" i="55"/>
  <c r="F20" i="55" s="1"/>
  <c r="G18" i="55"/>
  <c r="H18" i="55"/>
  <c r="AB18" i="55" s="1"/>
  <c r="I18" i="55"/>
  <c r="AC18" i="55" s="1"/>
  <c r="K18" i="55"/>
  <c r="K20" i="55" s="1"/>
  <c r="L18" i="55"/>
  <c r="M18" i="55"/>
  <c r="N18" i="55"/>
  <c r="O18" i="55"/>
  <c r="O20" i="55" s="1"/>
  <c r="P18" i="55"/>
  <c r="Q18" i="55"/>
  <c r="R18" i="55"/>
  <c r="R20" i="55" s="1"/>
  <c r="S18" i="55"/>
  <c r="S20" i="55" s="1"/>
  <c r="T18" i="55"/>
  <c r="U18" i="55"/>
  <c r="V18" i="55"/>
  <c r="W18" i="55"/>
  <c r="W20" i="55" s="1"/>
  <c r="X18" i="55"/>
  <c r="Y18" i="55"/>
  <c r="Z18" i="55"/>
  <c r="Z20" i="55" s="1"/>
  <c r="AA18" i="55"/>
  <c r="AA20" i="55" s="1"/>
  <c r="C19" i="55"/>
  <c r="C20" i="55" s="1"/>
  <c r="D19" i="55"/>
  <c r="E19" i="55"/>
  <c r="F19" i="55"/>
  <c r="G19" i="55"/>
  <c r="G20" i="55" s="1"/>
  <c r="H19" i="55"/>
  <c r="I19" i="55"/>
  <c r="AC19" i="55" s="1"/>
  <c r="AC20" i="55" s="1"/>
  <c r="K19" i="55"/>
  <c r="L19" i="55"/>
  <c r="L20" i="55" s="1"/>
  <c r="M19" i="55"/>
  <c r="N19" i="55"/>
  <c r="O19" i="55"/>
  <c r="P19" i="55"/>
  <c r="P20" i="55" s="1"/>
  <c r="Q19" i="55"/>
  <c r="R19" i="55"/>
  <c r="S19" i="55"/>
  <c r="T19" i="55"/>
  <c r="T20" i="55" s="1"/>
  <c r="U19" i="55"/>
  <c r="V19" i="55"/>
  <c r="W19" i="55"/>
  <c r="X19" i="55"/>
  <c r="X20" i="55" s="1"/>
  <c r="Y19" i="55"/>
  <c r="Z19" i="55"/>
  <c r="AA19" i="55"/>
  <c r="AB19" i="55"/>
  <c r="D20" i="55"/>
  <c r="E20" i="55"/>
  <c r="H20" i="55"/>
  <c r="M20" i="55"/>
  <c r="N20" i="55"/>
  <c r="Q20" i="55"/>
  <c r="U20" i="55"/>
  <c r="V20" i="55"/>
  <c r="Y20" i="55"/>
  <c r="C21" i="55"/>
  <c r="D21" i="55"/>
  <c r="E21" i="55"/>
  <c r="F21" i="55"/>
  <c r="AD21" i="55" s="1"/>
  <c r="G21" i="55"/>
  <c r="H21" i="55"/>
  <c r="AB21" i="55" s="1"/>
  <c r="I21" i="55"/>
  <c r="AC21" i="55" s="1"/>
  <c r="K21" i="55"/>
  <c r="L21" i="55"/>
  <c r="M21" i="55"/>
  <c r="N21" i="55"/>
  <c r="O21" i="55"/>
  <c r="P21" i="55"/>
  <c r="Q21" i="55"/>
  <c r="R21" i="55"/>
  <c r="S21" i="55"/>
  <c r="T21" i="55"/>
  <c r="U21" i="55"/>
  <c r="V21" i="55"/>
  <c r="W21" i="55"/>
  <c r="X21" i="55"/>
  <c r="Y21" i="55"/>
  <c r="Z21" i="55"/>
  <c r="AA21" i="55"/>
  <c r="C23" i="55"/>
  <c r="D23" i="55"/>
  <c r="E23" i="55"/>
  <c r="F23" i="55"/>
  <c r="G23" i="55"/>
  <c r="H23" i="55"/>
  <c r="I23" i="55"/>
  <c r="AC23" i="55" s="1"/>
  <c r="K23" i="55"/>
  <c r="L23" i="55"/>
  <c r="M23" i="55"/>
  <c r="N23" i="55"/>
  <c r="O23" i="55"/>
  <c r="P23" i="55"/>
  <c r="Q23" i="55"/>
  <c r="R23" i="55"/>
  <c r="S23" i="55"/>
  <c r="T23" i="55"/>
  <c r="U23" i="55"/>
  <c r="V23" i="55"/>
  <c r="W23" i="55"/>
  <c r="X23" i="55"/>
  <c r="Y23" i="55"/>
  <c r="Z23" i="55"/>
  <c r="AD23" i="55" s="1"/>
  <c r="AA23" i="55"/>
  <c r="AB23" i="55"/>
  <c r="C24" i="55"/>
  <c r="C27" i="55" s="1"/>
  <c r="D24" i="55"/>
  <c r="E24" i="55"/>
  <c r="F24" i="55"/>
  <c r="G24" i="55"/>
  <c r="AA24" i="55" s="1"/>
  <c r="H24" i="55"/>
  <c r="I24" i="55"/>
  <c r="K24" i="55"/>
  <c r="L24" i="55"/>
  <c r="M24" i="55"/>
  <c r="N24" i="55"/>
  <c r="O24" i="55"/>
  <c r="P24" i="55"/>
  <c r="Q24" i="55"/>
  <c r="R24" i="55"/>
  <c r="S24" i="55"/>
  <c r="T24" i="55"/>
  <c r="U24" i="55"/>
  <c r="V24" i="55"/>
  <c r="W24" i="55"/>
  <c r="X24" i="55"/>
  <c r="AB24" i="55" s="1"/>
  <c r="Y24" i="55"/>
  <c r="Z24" i="55"/>
  <c r="AC24" i="55"/>
  <c r="C25" i="55"/>
  <c r="D25" i="55"/>
  <c r="E25" i="55"/>
  <c r="F25" i="55"/>
  <c r="G25" i="55"/>
  <c r="H25" i="55"/>
  <c r="AB25" i="55" s="1"/>
  <c r="I25" i="55"/>
  <c r="K25" i="55"/>
  <c r="L25" i="55"/>
  <c r="M25" i="55"/>
  <c r="N25" i="55"/>
  <c r="O25" i="55"/>
  <c r="P25" i="55"/>
  <c r="Q25" i="55"/>
  <c r="R25" i="55"/>
  <c r="S25" i="55"/>
  <c r="T25" i="55"/>
  <c r="U25" i="55"/>
  <c r="V25" i="55"/>
  <c r="W25" i="55"/>
  <c r="AA25" i="55" s="1"/>
  <c r="X25" i="55"/>
  <c r="Y25" i="55"/>
  <c r="Z25" i="55"/>
  <c r="C26" i="55"/>
  <c r="D26" i="55"/>
  <c r="E26" i="55"/>
  <c r="F26" i="55"/>
  <c r="G26" i="55"/>
  <c r="AA26" i="55" s="1"/>
  <c r="H26" i="55"/>
  <c r="I26" i="55"/>
  <c r="AC26" i="55" s="1"/>
  <c r="K26" i="55"/>
  <c r="L26" i="55"/>
  <c r="M26" i="55"/>
  <c r="N26" i="55"/>
  <c r="O26" i="55"/>
  <c r="P26" i="55"/>
  <c r="Q26" i="55"/>
  <c r="R26" i="55"/>
  <c r="S26" i="55"/>
  <c r="T26" i="55"/>
  <c r="U26" i="55"/>
  <c r="V26" i="55"/>
  <c r="W26" i="55"/>
  <c r="X26" i="55"/>
  <c r="Y26" i="55"/>
  <c r="Z26" i="55"/>
  <c r="AB26" i="55"/>
  <c r="AD26" i="55"/>
  <c r="C28" i="55"/>
  <c r="D28" i="55"/>
  <c r="E28" i="55"/>
  <c r="F28" i="55"/>
  <c r="G28" i="55"/>
  <c r="AA28" i="55" s="1"/>
  <c r="H28" i="55"/>
  <c r="I28" i="55"/>
  <c r="AC28" i="55" s="1"/>
  <c r="K28" i="55"/>
  <c r="L28" i="55"/>
  <c r="M28" i="55"/>
  <c r="N28" i="55"/>
  <c r="O28" i="55"/>
  <c r="P28" i="55"/>
  <c r="Q28" i="55"/>
  <c r="R28" i="55"/>
  <c r="S28" i="55"/>
  <c r="T28" i="55"/>
  <c r="U28" i="55"/>
  <c r="V28" i="55"/>
  <c r="W28" i="55"/>
  <c r="X28" i="55"/>
  <c r="Y28" i="55"/>
  <c r="Z28" i="55"/>
  <c r="AB28" i="55"/>
  <c r="C29" i="55"/>
  <c r="D29" i="55"/>
  <c r="E29" i="55"/>
  <c r="F29" i="55"/>
  <c r="G29" i="55"/>
  <c r="AA29" i="55" s="1"/>
  <c r="H29" i="55"/>
  <c r="I29" i="55"/>
  <c r="K29" i="55"/>
  <c r="L29" i="55"/>
  <c r="M29" i="55"/>
  <c r="N29" i="55"/>
  <c r="O29" i="55"/>
  <c r="P29" i="55"/>
  <c r="Q29" i="55"/>
  <c r="R29" i="55"/>
  <c r="S29" i="55"/>
  <c r="T29" i="55"/>
  <c r="U29" i="55"/>
  <c r="V29" i="55"/>
  <c r="W29" i="55"/>
  <c r="X29" i="55"/>
  <c r="Y29" i="55"/>
  <c r="AC29" i="55" s="1"/>
  <c r="Z29" i="55"/>
  <c r="C31" i="55"/>
  <c r="D31" i="55"/>
  <c r="E31" i="55"/>
  <c r="F31" i="55"/>
  <c r="G31" i="55"/>
  <c r="H31" i="55"/>
  <c r="I31" i="55"/>
  <c r="AC31" i="55" s="1"/>
  <c r="K31" i="55"/>
  <c r="K32" i="55" s="1"/>
  <c r="L31" i="55"/>
  <c r="M31" i="55"/>
  <c r="N31" i="55"/>
  <c r="O31" i="55"/>
  <c r="P31" i="55"/>
  <c r="Q31" i="55"/>
  <c r="R31" i="55"/>
  <c r="S31" i="55"/>
  <c r="T31" i="55"/>
  <c r="U31" i="55"/>
  <c r="V31" i="55"/>
  <c r="W31" i="55"/>
  <c r="X31" i="55"/>
  <c r="Y31" i="55"/>
  <c r="Z31" i="55"/>
  <c r="AD31" i="55" s="1"/>
  <c r="AA31" i="55"/>
  <c r="AB31" i="55"/>
  <c r="C33" i="55"/>
  <c r="D33" i="55"/>
  <c r="E33" i="55"/>
  <c r="F33" i="55"/>
  <c r="G33" i="55"/>
  <c r="AA33" i="55" s="1"/>
  <c r="H33" i="55"/>
  <c r="K33" i="55"/>
  <c r="L33" i="55"/>
  <c r="M33" i="55"/>
  <c r="N33" i="55"/>
  <c r="O33" i="55"/>
  <c r="P33" i="55"/>
  <c r="Q33" i="55"/>
  <c r="R33" i="55"/>
  <c r="S33" i="55"/>
  <c r="T33" i="55"/>
  <c r="U33" i="55"/>
  <c r="V33" i="55"/>
  <c r="W33" i="55"/>
  <c r="X33" i="55"/>
  <c r="Y33" i="55"/>
  <c r="AC33" i="55" s="1"/>
  <c r="Z33" i="55"/>
  <c r="AB33" i="55"/>
  <c r="C34" i="55"/>
  <c r="D34" i="55"/>
  <c r="E34" i="55"/>
  <c r="F34" i="55"/>
  <c r="G34" i="55"/>
  <c r="H34" i="55"/>
  <c r="AB34" i="55" s="1"/>
  <c r="I34" i="55"/>
  <c r="K34" i="55"/>
  <c r="L34" i="55"/>
  <c r="M34" i="55"/>
  <c r="N34" i="55"/>
  <c r="O34" i="55"/>
  <c r="P34" i="55"/>
  <c r="Q34" i="55"/>
  <c r="R34" i="55"/>
  <c r="S34" i="55"/>
  <c r="T34" i="55"/>
  <c r="U34" i="55"/>
  <c r="V34" i="55"/>
  <c r="W34" i="55"/>
  <c r="X34" i="55"/>
  <c r="Y34" i="55"/>
  <c r="Z34" i="55"/>
  <c r="AA34" i="55"/>
  <c r="AC34" i="55"/>
  <c r="C35" i="55"/>
  <c r="D35" i="55"/>
  <c r="E35" i="55"/>
  <c r="F35" i="55"/>
  <c r="AD35" i="55" s="1"/>
  <c r="G35" i="55"/>
  <c r="H35" i="55"/>
  <c r="AB35" i="55" s="1"/>
  <c r="I35" i="55"/>
  <c r="K35" i="55"/>
  <c r="L35" i="55"/>
  <c r="M35" i="55"/>
  <c r="N35" i="55"/>
  <c r="O35" i="55"/>
  <c r="P35" i="55"/>
  <c r="Q35" i="55"/>
  <c r="R35" i="55"/>
  <c r="S35" i="55"/>
  <c r="T35" i="55"/>
  <c r="U35" i="55"/>
  <c r="V35" i="55"/>
  <c r="W35" i="55"/>
  <c r="X35" i="55"/>
  <c r="Y35" i="55"/>
  <c r="Z35" i="55"/>
  <c r="AA35" i="55"/>
  <c r="AC35" i="55"/>
  <c r="C37" i="55"/>
  <c r="D37" i="55"/>
  <c r="E37" i="55"/>
  <c r="F37" i="55"/>
  <c r="G37" i="55"/>
  <c r="AA37" i="55" s="1"/>
  <c r="H37" i="55"/>
  <c r="I37" i="55"/>
  <c r="K37" i="55"/>
  <c r="L37" i="55"/>
  <c r="M37" i="55"/>
  <c r="N37" i="55"/>
  <c r="O37" i="55"/>
  <c r="P37" i="55"/>
  <c r="Q37" i="55"/>
  <c r="R37" i="55"/>
  <c r="S37" i="55"/>
  <c r="T37" i="55"/>
  <c r="U37" i="55"/>
  <c r="V37" i="55"/>
  <c r="W37" i="55"/>
  <c r="X37" i="55"/>
  <c r="AB37" i="55" s="1"/>
  <c r="Y37" i="55"/>
  <c r="Z37" i="55"/>
  <c r="AC37" i="55"/>
  <c r="AD37" i="55"/>
  <c r="C38" i="55"/>
  <c r="D38" i="55"/>
  <c r="E38" i="55"/>
  <c r="F38" i="55"/>
  <c r="G38" i="55"/>
  <c r="H38" i="55"/>
  <c r="AB38" i="55" s="1"/>
  <c r="I38" i="55"/>
  <c r="K38" i="55"/>
  <c r="L38" i="55"/>
  <c r="M38" i="55"/>
  <c r="N38" i="55"/>
  <c r="O38" i="55"/>
  <c r="P38" i="55"/>
  <c r="Q38" i="55"/>
  <c r="R38" i="55"/>
  <c r="S38" i="55"/>
  <c r="T38" i="55"/>
  <c r="U38" i="55"/>
  <c r="V38" i="55"/>
  <c r="W38" i="55"/>
  <c r="X38" i="55"/>
  <c r="Y38" i="55"/>
  <c r="Z38" i="55"/>
  <c r="AA38" i="55"/>
  <c r="C40" i="55"/>
  <c r="D40" i="55"/>
  <c r="E40" i="55"/>
  <c r="F40" i="55"/>
  <c r="G40" i="55"/>
  <c r="H40" i="55"/>
  <c r="I40" i="55"/>
  <c r="K40" i="55"/>
  <c r="L40" i="55"/>
  <c r="M40" i="55"/>
  <c r="N40" i="55"/>
  <c r="O40" i="55"/>
  <c r="P40" i="55"/>
  <c r="Q40" i="55"/>
  <c r="R40" i="55"/>
  <c r="S40" i="55"/>
  <c r="T40" i="55"/>
  <c r="U40" i="55"/>
  <c r="V40" i="55"/>
  <c r="W40" i="55"/>
  <c r="X40" i="55"/>
  <c r="Y40" i="55"/>
  <c r="Z40" i="55"/>
  <c r="C41" i="55"/>
  <c r="D41" i="55"/>
  <c r="E41" i="55"/>
  <c r="F41" i="55"/>
  <c r="G41" i="55"/>
  <c r="H41" i="55"/>
  <c r="I41" i="55"/>
  <c r="K41" i="55"/>
  <c r="L41" i="55"/>
  <c r="M41" i="55"/>
  <c r="N41" i="55"/>
  <c r="O41" i="55"/>
  <c r="P41" i="55"/>
  <c r="Q41" i="55"/>
  <c r="R41" i="55"/>
  <c r="S41" i="55"/>
  <c r="T41" i="55"/>
  <c r="U41" i="55"/>
  <c r="V41" i="55"/>
  <c r="W41" i="55"/>
  <c r="X41" i="55"/>
  <c r="Y41" i="55"/>
  <c r="Z41" i="55"/>
  <c r="AA41" i="55"/>
  <c r="AB41" i="55"/>
  <c r="C42" i="55"/>
  <c r="H42" i="55"/>
  <c r="C8" i="54"/>
  <c r="D8" i="54"/>
  <c r="E8" i="54"/>
  <c r="F8" i="54"/>
  <c r="AA9" i="54"/>
  <c r="AB9" i="54"/>
  <c r="AC9" i="54"/>
  <c r="AD9" i="54"/>
  <c r="AA10" i="54"/>
  <c r="AB10" i="54"/>
  <c r="AC10" i="54"/>
  <c r="AD10" i="54"/>
  <c r="AA11" i="54"/>
  <c r="AB11" i="54"/>
  <c r="AC11" i="54"/>
  <c r="AD11" i="54"/>
  <c r="AC12" i="54"/>
  <c r="AD12" i="54"/>
  <c r="AA14" i="54"/>
  <c r="AA17" i="54" s="1"/>
  <c r="AB14" i="54"/>
  <c r="AB17" i="54" s="1"/>
  <c r="AC14" i="54"/>
  <c r="AD14" i="54"/>
  <c r="AC15" i="54"/>
  <c r="AD15" i="54"/>
  <c r="AC16" i="54"/>
  <c r="AD16" i="54"/>
  <c r="AA18" i="54"/>
  <c r="AA20" i="54" s="1"/>
  <c r="AB18" i="54"/>
  <c r="AB20" i="54" s="1"/>
  <c r="AC18" i="54"/>
  <c r="AD18" i="54"/>
  <c r="AC19" i="54"/>
  <c r="AD19" i="54"/>
  <c r="AA21" i="54"/>
  <c r="AB21" i="54"/>
  <c r="AC21" i="54"/>
  <c r="AD21" i="54"/>
  <c r="AA23" i="54"/>
  <c r="AB23" i="54"/>
  <c r="AC23" i="54"/>
  <c r="AD23" i="54"/>
  <c r="AA24" i="54"/>
  <c r="AB24" i="54"/>
  <c r="AC24" i="54"/>
  <c r="AD24" i="54"/>
  <c r="AA25" i="54"/>
  <c r="AB25" i="54"/>
  <c r="AC25" i="54"/>
  <c r="AD25" i="54"/>
  <c r="AA26" i="54"/>
  <c r="AB26" i="54"/>
  <c r="AC26" i="54"/>
  <c r="AD26" i="54"/>
  <c r="AA28" i="54"/>
  <c r="AB28" i="54"/>
  <c r="AC28" i="54"/>
  <c r="AC32" i="54" s="1"/>
  <c r="AD28" i="54"/>
  <c r="AD32" i="54" s="1"/>
  <c r="AC29" i="54"/>
  <c r="AD29" i="54"/>
  <c r="AA31" i="54"/>
  <c r="AB31" i="54"/>
  <c r="AC31" i="54"/>
  <c r="AD31" i="54"/>
  <c r="AA33" i="54"/>
  <c r="AB33" i="54"/>
  <c r="AB36" i="54" s="1"/>
  <c r="AC33" i="54"/>
  <c r="AD33" i="54"/>
  <c r="AA34" i="54"/>
  <c r="AB34" i="54"/>
  <c r="AC34" i="54"/>
  <c r="AD34" i="54"/>
  <c r="AC35" i="54"/>
  <c r="AD35" i="54"/>
  <c r="AA37" i="54"/>
  <c r="AB37" i="54"/>
  <c r="AC37" i="54"/>
  <c r="AD37" i="54"/>
  <c r="AA38" i="54"/>
  <c r="AB38" i="54"/>
  <c r="AC38" i="54"/>
  <c r="AD38" i="54"/>
  <c r="AA40" i="54"/>
  <c r="AA42" i="54" s="1"/>
  <c r="AB40" i="54"/>
  <c r="AB42" i="54" s="1"/>
  <c r="AC40" i="54"/>
  <c r="AC42" i="54" s="1"/>
  <c r="AD40" i="54"/>
  <c r="AD42" i="54" s="1"/>
  <c r="AC41" i="54"/>
  <c r="AD41" i="54"/>
  <c r="V44" i="54"/>
  <c r="C44" i="54"/>
  <c r="E44" i="54"/>
  <c r="K44" i="54"/>
  <c r="M44" i="54"/>
  <c r="O44" i="54"/>
  <c r="Q44" i="54"/>
  <c r="D44" i="54"/>
  <c r="G44" i="54"/>
  <c r="H44" i="54"/>
  <c r="I44" i="54"/>
  <c r="L44" i="54"/>
  <c r="P44" i="54"/>
  <c r="S44" i="54"/>
  <c r="T44" i="54"/>
  <c r="U44" i="54"/>
  <c r="W44" i="54"/>
  <c r="X44" i="54"/>
  <c r="Y44" i="54"/>
  <c r="C8" i="53"/>
  <c r="D8" i="53"/>
  <c r="E8" i="53"/>
  <c r="F8" i="53"/>
  <c r="AA9" i="53"/>
  <c r="AB9" i="53"/>
  <c r="AC9" i="53"/>
  <c r="AD9" i="53"/>
  <c r="AA10" i="53"/>
  <c r="AB10" i="53"/>
  <c r="AC10" i="53"/>
  <c r="AD10" i="53"/>
  <c r="AA11" i="53"/>
  <c r="AB11" i="53"/>
  <c r="AC11" i="53"/>
  <c r="AD11" i="53"/>
  <c r="AC12" i="53"/>
  <c r="AD12" i="53"/>
  <c r="AA14" i="53"/>
  <c r="AA17" i="53" s="1"/>
  <c r="AB14" i="53"/>
  <c r="AB17" i="53" s="1"/>
  <c r="AC14" i="53"/>
  <c r="AD14" i="53"/>
  <c r="AC15" i="53"/>
  <c r="AD15" i="53"/>
  <c r="AC16" i="53"/>
  <c r="AD16" i="53"/>
  <c r="AA18" i="53"/>
  <c r="AA20" i="53" s="1"/>
  <c r="AB18" i="53"/>
  <c r="AB20" i="53" s="1"/>
  <c r="AC18" i="53"/>
  <c r="AD18" i="53"/>
  <c r="AD20" i="53" s="1"/>
  <c r="AC19" i="53"/>
  <c r="AD19" i="53"/>
  <c r="AA21" i="53"/>
  <c r="AB21" i="53"/>
  <c r="AC21" i="53"/>
  <c r="AD21" i="53"/>
  <c r="AA23" i="53"/>
  <c r="AB23" i="53"/>
  <c r="AC23" i="53"/>
  <c r="AD23" i="53"/>
  <c r="AA24" i="53"/>
  <c r="AB24" i="53"/>
  <c r="AC24" i="53"/>
  <c r="AD24" i="53"/>
  <c r="AA25" i="53"/>
  <c r="AB25" i="53"/>
  <c r="AC25" i="53"/>
  <c r="AD25" i="53"/>
  <c r="AA26" i="53"/>
  <c r="AB26" i="53"/>
  <c r="AC26" i="53"/>
  <c r="AD26" i="53"/>
  <c r="AA28" i="53"/>
  <c r="AB28" i="53"/>
  <c r="AB32" i="53" s="1"/>
  <c r="AC28" i="53"/>
  <c r="AC32" i="53" s="1"/>
  <c r="AD28" i="53"/>
  <c r="AC29" i="53"/>
  <c r="AD29" i="53"/>
  <c r="AA31" i="53"/>
  <c r="AB31" i="53"/>
  <c r="AC31" i="53"/>
  <c r="AD31" i="53"/>
  <c r="AA33" i="53"/>
  <c r="AB33" i="53"/>
  <c r="AC33" i="53"/>
  <c r="AD33" i="53"/>
  <c r="AA34" i="53"/>
  <c r="AB34" i="53"/>
  <c r="AC34" i="53"/>
  <c r="AD34" i="53"/>
  <c r="AC35" i="53"/>
  <c r="AD35" i="53"/>
  <c r="AA37" i="53"/>
  <c r="AB37" i="53"/>
  <c r="AC37" i="53"/>
  <c r="AD37" i="53"/>
  <c r="AA38" i="53"/>
  <c r="AB38" i="53"/>
  <c r="AC38" i="53"/>
  <c r="AD38" i="53"/>
  <c r="AA40" i="53"/>
  <c r="AA42" i="53" s="1"/>
  <c r="AB40" i="53"/>
  <c r="AB42" i="53" s="1"/>
  <c r="AC40" i="53"/>
  <c r="AC42" i="53" s="1"/>
  <c r="AD40" i="53"/>
  <c r="AC41" i="53"/>
  <c r="AD41" i="53"/>
  <c r="C44" i="53"/>
  <c r="E44" i="53"/>
  <c r="D44" i="53"/>
  <c r="G44" i="53"/>
  <c r="H44" i="53"/>
  <c r="I44" i="53"/>
  <c r="K44" i="53"/>
  <c r="L44" i="53"/>
  <c r="M44" i="53"/>
  <c r="O44" i="53"/>
  <c r="P44" i="53"/>
  <c r="Q44" i="53"/>
  <c r="S44" i="53"/>
  <c r="T44" i="53"/>
  <c r="U44" i="53"/>
  <c r="W44" i="53"/>
  <c r="X44" i="53"/>
  <c r="Y44" i="53"/>
  <c r="C8" i="52"/>
  <c r="D8" i="52"/>
  <c r="E8" i="52"/>
  <c r="F8" i="52"/>
  <c r="G8" i="52"/>
  <c r="K8" i="52"/>
  <c r="O8" i="52"/>
  <c r="AA9" i="52"/>
  <c r="AB9" i="52"/>
  <c r="AC9" i="52"/>
  <c r="AD9" i="52"/>
  <c r="AA10" i="52"/>
  <c r="AB10" i="52"/>
  <c r="AC10" i="52"/>
  <c r="AD10" i="52"/>
  <c r="AA11" i="52"/>
  <c r="AB11" i="52"/>
  <c r="AC11" i="52"/>
  <c r="AD11" i="52"/>
  <c r="AC12" i="52"/>
  <c r="AD12" i="52"/>
  <c r="F13" i="52"/>
  <c r="AA14" i="52"/>
  <c r="AA17" i="52" s="1"/>
  <c r="AB14" i="52"/>
  <c r="AB17" i="52" s="1"/>
  <c r="AC14" i="52"/>
  <c r="AD14" i="52"/>
  <c r="AC15" i="52"/>
  <c r="AD15" i="52"/>
  <c r="AC16" i="52"/>
  <c r="AD16" i="52"/>
  <c r="F17" i="52"/>
  <c r="AA18" i="52"/>
  <c r="AA20" i="52" s="1"/>
  <c r="AB18" i="52"/>
  <c r="AB20" i="52" s="1"/>
  <c r="AC18" i="52"/>
  <c r="AC20" i="52" s="1"/>
  <c r="AD18" i="52"/>
  <c r="AD20" i="52" s="1"/>
  <c r="AC19" i="52"/>
  <c r="AD19" i="52"/>
  <c r="F20" i="52"/>
  <c r="AA21" i="52"/>
  <c r="AB21" i="52"/>
  <c r="AC21" i="52"/>
  <c r="AD21" i="52"/>
  <c r="AA23" i="52"/>
  <c r="AB23" i="52"/>
  <c r="AC23" i="52"/>
  <c r="AD23" i="52"/>
  <c r="AA24" i="52"/>
  <c r="AB24" i="52"/>
  <c r="AC24" i="52"/>
  <c r="AD24" i="52"/>
  <c r="AA25" i="52"/>
  <c r="AB25" i="52"/>
  <c r="AC25" i="52"/>
  <c r="AD25" i="52"/>
  <c r="AA26" i="52"/>
  <c r="AB26" i="52"/>
  <c r="AC26" i="52"/>
  <c r="AD26" i="52"/>
  <c r="AA28" i="52"/>
  <c r="AB28" i="52"/>
  <c r="AC28" i="52"/>
  <c r="AD28" i="52"/>
  <c r="AC29" i="52"/>
  <c r="AD29" i="52"/>
  <c r="AA31" i="52"/>
  <c r="AA32" i="52" s="1"/>
  <c r="AB31" i="52"/>
  <c r="AB32" i="52" s="1"/>
  <c r="AC31" i="52"/>
  <c r="AD31" i="52"/>
  <c r="F32" i="52"/>
  <c r="F43" i="52" s="1"/>
  <c r="J32" i="52"/>
  <c r="J43" i="52" s="1"/>
  <c r="J44" i="52" s="1"/>
  <c r="N32" i="52"/>
  <c r="R32" i="52"/>
  <c r="V32" i="52"/>
  <c r="V43" i="52" s="1"/>
  <c r="V44" i="52" s="1"/>
  <c r="Z32" i="52"/>
  <c r="Z43" i="52" s="1"/>
  <c r="Z44" i="52" s="1"/>
  <c r="AC32" i="52"/>
  <c r="AD32" i="52"/>
  <c r="AA33" i="52"/>
  <c r="AB33" i="52"/>
  <c r="AC33" i="52"/>
  <c r="AD33" i="52"/>
  <c r="AA34" i="52"/>
  <c r="AB34" i="52"/>
  <c r="AC34" i="52"/>
  <c r="AD34" i="52"/>
  <c r="AC35" i="52"/>
  <c r="AD35" i="52"/>
  <c r="AA37" i="52"/>
  <c r="AB37" i="52"/>
  <c r="AC37" i="52"/>
  <c r="AD37" i="52"/>
  <c r="AA38" i="52"/>
  <c r="AB38" i="52"/>
  <c r="AC38" i="52"/>
  <c r="AD38" i="52"/>
  <c r="AA40" i="52"/>
  <c r="AA42" i="52" s="1"/>
  <c r="AB40" i="52"/>
  <c r="AB42" i="52" s="1"/>
  <c r="AC40" i="52"/>
  <c r="AD40" i="52"/>
  <c r="AC41" i="52"/>
  <c r="AD41" i="52"/>
  <c r="F42" i="52"/>
  <c r="J42" i="52"/>
  <c r="N42" i="52"/>
  <c r="R42" i="52"/>
  <c r="V42" i="52"/>
  <c r="Z42" i="52"/>
  <c r="AC42" i="52"/>
  <c r="AD42" i="52"/>
  <c r="A4" i="51"/>
  <c r="A4" i="52" s="1"/>
  <c r="A4" i="53" s="1"/>
  <c r="A4" i="54" s="1"/>
  <c r="A4" i="55" s="1"/>
  <c r="A3" i="56" s="1"/>
  <c r="A3" i="57" s="1"/>
  <c r="C8" i="51"/>
  <c r="D8" i="51"/>
  <c r="E8" i="51"/>
  <c r="F8" i="51"/>
  <c r="AA9" i="51"/>
  <c r="AB9" i="51"/>
  <c r="AC9" i="51"/>
  <c r="AD9" i="51"/>
  <c r="AA10" i="51"/>
  <c r="AB10" i="51"/>
  <c r="AC10" i="51"/>
  <c r="AD10" i="51"/>
  <c r="AA11" i="51"/>
  <c r="AB11" i="51"/>
  <c r="AC11" i="51"/>
  <c r="AD11" i="51"/>
  <c r="AC12" i="51"/>
  <c r="AD12" i="51"/>
  <c r="F13" i="51"/>
  <c r="AA14" i="51"/>
  <c r="AA17" i="51" s="1"/>
  <c r="AB14" i="51"/>
  <c r="AB17" i="51" s="1"/>
  <c r="AC14" i="51"/>
  <c r="AD14" i="51"/>
  <c r="AC15" i="51"/>
  <c r="AD15" i="51"/>
  <c r="AC16" i="51"/>
  <c r="AD16" i="51"/>
  <c r="F17" i="51"/>
  <c r="AA18" i="51"/>
  <c r="AA20" i="51" s="1"/>
  <c r="AB18" i="51"/>
  <c r="AB20" i="51" s="1"/>
  <c r="AC18" i="51"/>
  <c r="AD18" i="51"/>
  <c r="AD20" i="51" s="1"/>
  <c r="AC19" i="51"/>
  <c r="AD19" i="51"/>
  <c r="F20" i="51"/>
  <c r="AA21" i="51"/>
  <c r="AB21" i="51"/>
  <c r="AC21" i="51"/>
  <c r="AD21" i="51"/>
  <c r="AA23" i="51"/>
  <c r="AB23" i="51"/>
  <c r="AC23" i="51"/>
  <c r="AD23" i="51"/>
  <c r="AA24" i="51"/>
  <c r="AB24" i="51"/>
  <c r="AC24" i="51"/>
  <c r="AD24" i="51"/>
  <c r="AA25" i="51"/>
  <c r="AB25" i="51"/>
  <c r="AC25" i="51"/>
  <c r="AD25" i="51"/>
  <c r="AA26" i="51"/>
  <c r="AB26" i="51"/>
  <c r="AC26" i="51"/>
  <c r="AD26" i="51"/>
  <c r="F27" i="51"/>
  <c r="AA28" i="51"/>
  <c r="AA32" i="51" s="1"/>
  <c r="AB28" i="51"/>
  <c r="AC28" i="51"/>
  <c r="AD28" i="51"/>
  <c r="AD32" i="51" s="1"/>
  <c r="AC29" i="51"/>
  <c r="AD29" i="51"/>
  <c r="AA31" i="51"/>
  <c r="AB31" i="51"/>
  <c r="AC31" i="51"/>
  <c r="AD31" i="51"/>
  <c r="F32" i="51"/>
  <c r="AA33" i="51"/>
  <c r="AB33" i="51"/>
  <c r="AC33" i="51"/>
  <c r="AD33" i="51"/>
  <c r="AA34" i="51"/>
  <c r="AB34" i="51"/>
  <c r="AC34" i="51"/>
  <c r="AD34" i="51"/>
  <c r="AC35" i="51"/>
  <c r="AD35" i="51"/>
  <c r="AA37" i="51"/>
  <c r="AB37" i="51"/>
  <c r="AC37" i="51"/>
  <c r="AD37" i="51"/>
  <c r="AA38" i="51"/>
  <c r="AB38" i="51"/>
  <c r="AC38" i="51"/>
  <c r="AD38" i="51"/>
  <c r="AA40" i="51"/>
  <c r="AA42" i="51" s="1"/>
  <c r="AB40" i="51"/>
  <c r="AB42" i="51" s="1"/>
  <c r="AC40" i="51"/>
  <c r="AC42" i="51" s="1"/>
  <c r="AD40" i="51"/>
  <c r="AD42" i="51" s="1"/>
  <c r="AC41" i="51"/>
  <c r="AD41" i="51"/>
  <c r="F42" i="51"/>
  <c r="K44" i="51"/>
  <c r="M44" i="51"/>
  <c r="S44" i="51"/>
  <c r="U44" i="51"/>
  <c r="D44" i="51"/>
  <c r="E44" i="51"/>
  <c r="G44" i="51"/>
  <c r="H44" i="51"/>
  <c r="I44" i="51"/>
  <c r="L44" i="51"/>
  <c r="O44" i="51"/>
  <c r="P44" i="51"/>
  <c r="Q44" i="51"/>
  <c r="T44" i="51"/>
  <c r="W44" i="51"/>
  <c r="X44" i="51"/>
  <c r="Y44" i="51"/>
  <c r="G8" i="50"/>
  <c r="G8" i="54" s="1"/>
  <c r="H8" i="50"/>
  <c r="H8" i="55" s="1"/>
  <c r="I8" i="50"/>
  <c r="J8" i="50"/>
  <c r="N8" i="50" s="1"/>
  <c r="K8" i="50"/>
  <c r="K8" i="54" s="1"/>
  <c r="L8" i="50"/>
  <c r="L8" i="55" s="1"/>
  <c r="M8" i="50"/>
  <c r="O8" i="50"/>
  <c r="O8" i="54" s="1"/>
  <c r="P8" i="50"/>
  <c r="P8" i="55" s="1"/>
  <c r="Q8" i="50"/>
  <c r="S8" i="50"/>
  <c r="S8" i="54" s="1"/>
  <c r="T8" i="50"/>
  <c r="T8" i="55" s="1"/>
  <c r="D7" i="56" s="1"/>
  <c r="U8" i="50"/>
  <c r="U8" i="54" s="1"/>
  <c r="W8" i="50"/>
  <c r="W8" i="54" s="1"/>
  <c r="X8" i="50"/>
  <c r="X8" i="55" s="1"/>
  <c r="H7" i="56" s="1"/>
  <c r="Y8" i="50"/>
  <c r="Y8" i="54" s="1"/>
  <c r="AA8" i="50"/>
  <c r="AA8" i="54" s="1"/>
  <c r="AB8" i="50"/>
  <c r="AB8" i="55" s="1"/>
  <c r="AC8" i="50"/>
  <c r="AC8" i="54" s="1"/>
  <c r="AA9" i="50"/>
  <c r="AB9" i="50"/>
  <c r="AC9" i="50"/>
  <c r="AD9" i="50"/>
  <c r="AA10" i="50"/>
  <c r="AB10" i="50"/>
  <c r="AC10" i="50"/>
  <c r="AD10" i="50"/>
  <c r="AA11" i="50"/>
  <c r="AB11" i="50"/>
  <c r="AC11" i="50"/>
  <c r="AD11" i="50"/>
  <c r="AC12" i="50"/>
  <c r="AD12" i="50"/>
  <c r="F13" i="50"/>
  <c r="J13" i="50"/>
  <c r="N13" i="50"/>
  <c r="R13" i="50"/>
  <c r="V13" i="50"/>
  <c r="Z13" i="50"/>
  <c r="Z22" i="50" s="1"/>
  <c r="AA13" i="50"/>
  <c r="AA14" i="50"/>
  <c r="AB14" i="50"/>
  <c r="AB17" i="50" s="1"/>
  <c r="AC14" i="50"/>
  <c r="AD14" i="50"/>
  <c r="AC15" i="50"/>
  <c r="AD15" i="50"/>
  <c r="AC16" i="50"/>
  <c r="AD16" i="50"/>
  <c r="F17" i="50"/>
  <c r="J17" i="50"/>
  <c r="N17" i="50"/>
  <c r="R17" i="50"/>
  <c r="V17" i="50"/>
  <c r="AD17" i="50"/>
  <c r="AA18" i="50"/>
  <c r="AB18" i="50"/>
  <c r="AC18" i="50"/>
  <c r="AD18" i="50"/>
  <c r="AD20" i="50" s="1"/>
  <c r="AC19" i="50"/>
  <c r="AD19" i="50"/>
  <c r="F20" i="50"/>
  <c r="J20" i="50"/>
  <c r="N20" i="50"/>
  <c r="R20" i="50"/>
  <c r="V20" i="50"/>
  <c r="Z20" i="50"/>
  <c r="AC20" i="50"/>
  <c r="AA21" i="50"/>
  <c r="AB21" i="50"/>
  <c r="AC21" i="50"/>
  <c r="AD21" i="50"/>
  <c r="V22" i="50"/>
  <c r="AA23" i="50"/>
  <c r="AB23" i="50"/>
  <c r="AC23" i="50"/>
  <c r="AD23" i="50"/>
  <c r="AA24" i="50"/>
  <c r="AB24" i="50"/>
  <c r="AC24" i="50"/>
  <c r="AD24" i="50"/>
  <c r="AA25" i="50"/>
  <c r="AB25" i="50"/>
  <c r="AC25" i="50"/>
  <c r="AD25" i="50"/>
  <c r="AA26" i="50"/>
  <c r="AB26" i="50"/>
  <c r="AC26" i="50"/>
  <c r="AD26" i="50"/>
  <c r="F27" i="50"/>
  <c r="J27" i="50"/>
  <c r="N27" i="50"/>
  <c r="N43" i="50" s="1"/>
  <c r="R27" i="50"/>
  <c r="V27" i="50"/>
  <c r="Z27" i="50"/>
  <c r="AA27" i="50"/>
  <c r="AB27" i="50"/>
  <c r="AA28" i="50"/>
  <c r="AB28" i="50"/>
  <c r="AC28" i="50"/>
  <c r="AD28" i="50"/>
  <c r="AC29" i="50"/>
  <c r="AD29" i="50"/>
  <c r="AA31" i="50"/>
  <c r="AB31" i="50"/>
  <c r="AC31" i="50"/>
  <c r="AD31" i="50"/>
  <c r="F32" i="50"/>
  <c r="J32" i="50"/>
  <c r="N32" i="50"/>
  <c r="R32" i="50"/>
  <c r="V32" i="50"/>
  <c r="Z32" i="50"/>
  <c r="AA32" i="50"/>
  <c r="AB32" i="50"/>
  <c r="AD32" i="50"/>
  <c r="AA33" i="50"/>
  <c r="AB33" i="50"/>
  <c r="AC33" i="50"/>
  <c r="AD33" i="50"/>
  <c r="AA34" i="50"/>
  <c r="AB34" i="50"/>
  <c r="AC34" i="50"/>
  <c r="AD34" i="50"/>
  <c r="AC35" i="50"/>
  <c r="AD35" i="50"/>
  <c r="AA37" i="50"/>
  <c r="AB37" i="50"/>
  <c r="AC37" i="50"/>
  <c r="AD37" i="50"/>
  <c r="AA38" i="50"/>
  <c r="AB38" i="50"/>
  <c r="AC38" i="50"/>
  <c r="AD38" i="50"/>
  <c r="AA40" i="50"/>
  <c r="AB40" i="50"/>
  <c r="AC40" i="50"/>
  <c r="AD40" i="50"/>
  <c r="AC41" i="50"/>
  <c r="AD41" i="50"/>
  <c r="F42" i="50"/>
  <c r="J42" i="50"/>
  <c r="N42" i="50"/>
  <c r="R42" i="50"/>
  <c r="V42" i="50"/>
  <c r="Z42" i="50"/>
  <c r="D44" i="50"/>
  <c r="C44" i="50"/>
  <c r="E44" i="50"/>
  <c r="G44" i="50"/>
  <c r="H44" i="50"/>
  <c r="I44" i="50"/>
  <c r="K44" i="50"/>
  <c r="L44" i="50"/>
  <c r="M44" i="50"/>
  <c r="O44" i="50"/>
  <c r="P44" i="50"/>
  <c r="Q44" i="50"/>
  <c r="S44" i="50"/>
  <c r="T44" i="50"/>
  <c r="U44" i="50"/>
  <c r="W44" i="50"/>
  <c r="X44" i="50"/>
  <c r="Y44" i="50"/>
  <c r="H8" i="49"/>
  <c r="I8" i="49"/>
  <c r="J8" i="49"/>
  <c r="P8" i="49" s="1"/>
  <c r="V8" i="49" s="1"/>
  <c r="K8" i="49"/>
  <c r="Q8" i="49" s="1"/>
  <c r="W8" i="49" s="1"/>
  <c r="L8" i="49"/>
  <c r="M8" i="49"/>
  <c r="N8" i="49"/>
  <c r="O8" i="49"/>
  <c r="U8" i="49" s="1"/>
  <c r="R8" i="49"/>
  <c r="S8" i="49"/>
  <c r="Y8" i="49" s="1"/>
  <c r="T8" i="49"/>
  <c r="X8" i="49"/>
  <c r="T9" i="49"/>
  <c r="U9" i="49"/>
  <c r="V9" i="49"/>
  <c r="W9" i="49"/>
  <c r="X9" i="49"/>
  <c r="Y9" i="49"/>
  <c r="T10" i="49"/>
  <c r="U10" i="49"/>
  <c r="V10" i="49"/>
  <c r="W10" i="49"/>
  <c r="X10" i="49"/>
  <c r="Y10" i="49"/>
  <c r="T11" i="49"/>
  <c r="U11" i="49"/>
  <c r="V11" i="49"/>
  <c r="W11" i="49"/>
  <c r="X11" i="49"/>
  <c r="Y11" i="49"/>
  <c r="B12" i="49"/>
  <c r="C12" i="49"/>
  <c r="D12" i="49"/>
  <c r="E12" i="49"/>
  <c r="F12" i="49"/>
  <c r="G12" i="49"/>
  <c r="H12" i="49"/>
  <c r="I12" i="49"/>
  <c r="J12" i="49"/>
  <c r="K12" i="49"/>
  <c r="L12" i="49"/>
  <c r="M12" i="49"/>
  <c r="N12" i="49"/>
  <c r="O12" i="49"/>
  <c r="P12" i="49"/>
  <c r="Q12" i="49"/>
  <c r="R12" i="49"/>
  <c r="S12" i="49"/>
  <c r="T13" i="49"/>
  <c r="T12" i="49" s="1"/>
  <c r="U13" i="49"/>
  <c r="U12" i="49" s="1"/>
  <c r="V13" i="49"/>
  <c r="W13" i="49"/>
  <c r="X13" i="49"/>
  <c r="X12" i="49" s="1"/>
  <c r="Y13" i="49"/>
  <c r="Y12" i="49" s="1"/>
  <c r="J11" i="48"/>
  <c r="X11" i="48"/>
  <c r="Y11" i="48"/>
  <c r="X12" i="48"/>
  <c r="Y12" i="48"/>
  <c r="J13" i="48"/>
  <c r="K13" i="48"/>
  <c r="X13" i="48"/>
  <c r="J14" i="48"/>
  <c r="K14" i="48"/>
  <c r="X14" i="48"/>
  <c r="Z14" i="48" s="1"/>
  <c r="Y14" i="48"/>
  <c r="AA14" i="48" s="1"/>
  <c r="K15" i="48"/>
  <c r="J15" i="48"/>
  <c r="X15" i="48"/>
  <c r="Y15" i="48"/>
  <c r="J17" i="48"/>
  <c r="X17" i="48"/>
  <c r="Y17" i="48"/>
  <c r="J18" i="48"/>
  <c r="K18" i="48"/>
  <c r="X18" i="48"/>
  <c r="Y18" i="48"/>
  <c r="AA18" i="48" s="1"/>
  <c r="K19" i="48"/>
  <c r="J19" i="48"/>
  <c r="J23" i="48"/>
  <c r="X23" i="48"/>
  <c r="R10" i="47"/>
  <c r="R20" i="47" s="1"/>
  <c r="K12" i="47"/>
  <c r="N20" i="47"/>
  <c r="O20" i="47"/>
  <c r="P20" i="47"/>
  <c r="Q20" i="47"/>
  <c r="N21" i="47"/>
  <c r="O21" i="47"/>
  <c r="P21" i="47"/>
  <c r="Q21" i="47"/>
  <c r="N22" i="47"/>
  <c r="O22" i="47"/>
  <c r="P22" i="47"/>
  <c r="Q22" i="47"/>
  <c r="N23" i="47"/>
  <c r="O23" i="47"/>
  <c r="P23" i="47"/>
  <c r="Q23" i="47"/>
  <c r="N24" i="47"/>
  <c r="O24" i="47"/>
  <c r="P24" i="47"/>
  <c r="Q24" i="47"/>
  <c r="L12" i="46"/>
  <c r="K12" i="46"/>
  <c r="K13" i="46"/>
  <c r="L13" i="46"/>
  <c r="K14" i="46"/>
  <c r="L14" i="46"/>
  <c r="L15" i="46"/>
  <c r="K15" i="46"/>
  <c r="K17" i="46"/>
  <c r="L17" i="46"/>
  <c r="K18" i="46"/>
  <c r="L18" i="46"/>
  <c r="K19" i="46"/>
  <c r="C30" i="46"/>
  <c r="G30" i="46"/>
  <c r="I60" i="46"/>
  <c r="B94" i="46"/>
  <c r="B95" i="46"/>
  <c r="B96" i="46"/>
  <c r="B97" i="46"/>
  <c r="B98" i="46"/>
  <c r="B99" i="46"/>
  <c r="A3" i="45"/>
  <c r="C10" i="45"/>
  <c r="E10" i="45"/>
  <c r="G10" i="45"/>
  <c r="K10" i="45" s="1"/>
  <c r="I10" i="45"/>
  <c r="M10" i="45" s="1"/>
  <c r="O10" i="45"/>
  <c r="S10" i="45" s="1"/>
  <c r="Q10" i="45"/>
  <c r="U10" i="45" s="1"/>
  <c r="C12" i="45"/>
  <c r="H12" i="45"/>
  <c r="J12" i="45"/>
  <c r="P12" i="45"/>
  <c r="R12" i="45"/>
  <c r="V12" i="45"/>
  <c r="C13" i="45"/>
  <c r="H13" i="45" s="1"/>
  <c r="R13" i="45"/>
  <c r="C14" i="45"/>
  <c r="J14" i="45"/>
  <c r="L14" i="45"/>
  <c r="N14" i="45"/>
  <c r="R14" i="45"/>
  <c r="T14" i="45"/>
  <c r="V14" i="45"/>
  <c r="I15" i="45"/>
  <c r="I20" i="45" s="1"/>
  <c r="M15" i="45"/>
  <c r="M20" i="45" s="1"/>
  <c r="Q15" i="45"/>
  <c r="Q20" i="45" s="1"/>
  <c r="U15" i="45"/>
  <c r="U20" i="45" s="1"/>
  <c r="C16" i="45"/>
  <c r="H16" i="45" s="1"/>
  <c r="J16" i="45"/>
  <c r="R16" i="45"/>
  <c r="V16" i="45"/>
  <c r="C17" i="45"/>
  <c r="H17" i="45" s="1"/>
  <c r="N17" i="45"/>
  <c r="R17" i="45"/>
  <c r="V17" i="45"/>
  <c r="C18" i="45"/>
  <c r="H18" i="45" s="1"/>
  <c r="R18" i="45"/>
  <c r="C19" i="45"/>
  <c r="H19" i="45" s="1"/>
  <c r="J19" i="45"/>
  <c r="N19" i="45"/>
  <c r="R19" i="45"/>
  <c r="V19" i="45"/>
  <c r="C22" i="45"/>
  <c r="H22" i="45" s="1"/>
  <c r="N22" i="45"/>
  <c r="R22" i="45"/>
  <c r="V22" i="45"/>
  <c r="C23" i="45"/>
  <c r="H23" i="45" s="1"/>
  <c r="J23" i="45"/>
  <c r="R23" i="45"/>
  <c r="C24" i="45"/>
  <c r="H24" i="45" s="1"/>
  <c r="C25" i="45"/>
  <c r="H25" i="45" s="1"/>
  <c r="J25" i="45"/>
  <c r="N25" i="45"/>
  <c r="R25" i="45"/>
  <c r="V25" i="45"/>
  <c r="E26" i="45"/>
  <c r="E34" i="45" s="1"/>
  <c r="I26" i="45"/>
  <c r="M26" i="45"/>
  <c r="Q26" i="45"/>
  <c r="U26" i="45"/>
  <c r="V26" i="45" s="1"/>
  <c r="C27" i="45"/>
  <c r="H27" i="45" s="1"/>
  <c r="J27" i="45"/>
  <c r="N27" i="45"/>
  <c r="R27" i="45"/>
  <c r="C28" i="45"/>
  <c r="H28" i="45" s="1"/>
  <c r="J28" i="45"/>
  <c r="N28" i="45"/>
  <c r="V28" i="45"/>
  <c r="C29" i="45"/>
  <c r="H29" i="45" s="1"/>
  <c r="C30" i="45"/>
  <c r="H30" i="45" s="1"/>
  <c r="J30" i="45"/>
  <c r="N30" i="45"/>
  <c r="R30" i="45"/>
  <c r="V30" i="45"/>
  <c r="C31" i="45"/>
  <c r="H31" i="45" s="1"/>
  <c r="J31" i="45"/>
  <c r="N31" i="45"/>
  <c r="R31" i="45"/>
  <c r="C32" i="45"/>
  <c r="H32" i="45" s="1"/>
  <c r="J32" i="45"/>
  <c r="N32" i="45"/>
  <c r="C33" i="45"/>
  <c r="H33" i="45" s="1"/>
  <c r="G34" i="45"/>
  <c r="K34" i="45"/>
  <c r="O34" i="45"/>
  <c r="S34" i="45"/>
  <c r="G35" i="45"/>
  <c r="K35" i="45"/>
  <c r="O35" i="45"/>
  <c r="S35" i="45"/>
  <c r="F10" i="44"/>
  <c r="G10" i="44"/>
  <c r="I10" i="44"/>
  <c r="L10" i="44" s="1"/>
  <c r="J10" i="44"/>
  <c r="M10" i="44"/>
  <c r="O10" i="44"/>
  <c r="R10" i="44" s="1"/>
  <c r="U10" i="44" s="1"/>
  <c r="P10" i="44"/>
  <c r="S10" i="44" s="1"/>
  <c r="V10" i="44"/>
  <c r="E12" i="44"/>
  <c r="H12" i="44"/>
  <c r="K12" i="44"/>
  <c r="N12" i="44"/>
  <c r="Q12" i="44"/>
  <c r="U12" i="44"/>
  <c r="V12" i="44"/>
  <c r="W12" i="44" s="1"/>
  <c r="E13" i="44"/>
  <c r="H13" i="44"/>
  <c r="K13" i="44"/>
  <c r="N13" i="44"/>
  <c r="Q13" i="44"/>
  <c r="U13" i="44"/>
  <c r="V13" i="44"/>
  <c r="E14" i="44"/>
  <c r="K14" i="44"/>
  <c r="N14" i="44"/>
  <c r="Q14" i="44"/>
  <c r="U14" i="44"/>
  <c r="U15" i="44" s="1"/>
  <c r="V14" i="44"/>
  <c r="W14" i="44" s="1"/>
  <c r="D15" i="44"/>
  <c r="E15" i="44" s="1"/>
  <c r="G15" i="44"/>
  <c r="H15" i="44"/>
  <c r="J15" i="44"/>
  <c r="K15" i="44" s="1"/>
  <c r="M15" i="44"/>
  <c r="N15" i="44" s="1"/>
  <c r="P15" i="44"/>
  <c r="Q15" i="44" s="1"/>
  <c r="S15" i="44"/>
  <c r="S20" i="44" s="1"/>
  <c r="T20" i="44" s="1"/>
  <c r="E16" i="44"/>
  <c r="H16" i="44"/>
  <c r="K16" i="44"/>
  <c r="N16" i="44"/>
  <c r="Q16" i="44"/>
  <c r="U16" i="44"/>
  <c r="V16" i="44"/>
  <c r="E17" i="44"/>
  <c r="H17" i="44"/>
  <c r="K17" i="44"/>
  <c r="N17" i="44"/>
  <c r="Q17" i="44"/>
  <c r="U17" i="44"/>
  <c r="V17" i="44"/>
  <c r="E18" i="44"/>
  <c r="H18" i="44"/>
  <c r="K18" i="44"/>
  <c r="N18" i="44"/>
  <c r="Q18" i="44"/>
  <c r="U18" i="44"/>
  <c r="V18" i="44"/>
  <c r="W18" i="44" s="1"/>
  <c r="E19" i="44"/>
  <c r="H19" i="44"/>
  <c r="K19" i="44"/>
  <c r="N19" i="44"/>
  <c r="Q19" i="44"/>
  <c r="U19" i="44"/>
  <c r="V19" i="44"/>
  <c r="W19" i="44" s="1"/>
  <c r="G20" i="44"/>
  <c r="H20" i="44" s="1"/>
  <c r="M20" i="44"/>
  <c r="N20" i="44" s="1"/>
  <c r="E22" i="44"/>
  <c r="H22" i="44"/>
  <c r="K22" i="44"/>
  <c r="N22" i="44"/>
  <c r="Q22" i="44"/>
  <c r="T22" i="44"/>
  <c r="U22" i="44"/>
  <c r="V22" i="44"/>
  <c r="E23" i="44"/>
  <c r="H23" i="44"/>
  <c r="K23" i="44"/>
  <c r="N23" i="44"/>
  <c r="Q23" i="44"/>
  <c r="T23" i="44"/>
  <c r="U23" i="44"/>
  <c r="V23" i="44"/>
  <c r="E24" i="44"/>
  <c r="K24" i="44"/>
  <c r="N24" i="44"/>
  <c r="Q24" i="44"/>
  <c r="U24" i="44"/>
  <c r="V24" i="44"/>
  <c r="W24" i="44" s="1"/>
  <c r="E25" i="44"/>
  <c r="K25" i="44"/>
  <c r="N25" i="44"/>
  <c r="Q25" i="44"/>
  <c r="U25" i="44"/>
  <c r="V25" i="44"/>
  <c r="D26" i="44"/>
  <c r="E26" i="44" s="1"/>
  <c r="G26" i="44"/>
  <c r="H26" i="44" s="1"/>
  <c r="J26" i="44"/>
  <c r="M26" i="44"/>
  <c r="N26" i="44" s="1"/>
  <c r="P26" i="44"/>
  <c r="S26" i="44"/>
  <c r="T26" i="44" s="1"/>
  <c r="E27" i="44"/>
  <c r="H27" i="44"/>
  <c r="K27" i="44"/>
  <c r="N27" i="44"/>
  <c r="Q27" i="44"/>
  <c r="U27" i="44"/>
  <c r="V27" i="44"/>
  <c r="W27" i="44" s="1"/>
  <c r="E28" i="44"/>
  <c r="K28" i="44"/>
  <c r="N28" i="44"/>
  <c r="Q28" i="44"/>
  <c r="U28" i="44"/>
  <c r="V28" i="44"/>
  <c r="E29" i="44"/>
  <c r="H29" i="44"/>
  <c r="K29" i="44"/>
  <c r="N29" i="44"/>
  <c r="Q29" i="44"/>
  <c r="U29" i="44"/>
  <c r="V29" i="44"/>
  <c r="W29" i="44" s="1"/>
  <c r="E30" i="44"/>
  <c r="K30" i="44"/>
  <c r="N30" i="44"/>
  <c r="Q30" i="44"/>
  <c r="U30" i="44"/>
  <c r="V30" i="44"/>
  <c r="W30" i="44" s="1"/>
  <c r="E31" i="44"/>
  <c r="H31" i="44"/>
  <c r="K31" i="44"/>
  <c r="N31" i="44"/>
  <c r="Q31" i="44"/>
  <c r="U31" i="44"/>
  <c r="V31" i="44"/>
  <c r="E32" i="44"/>
  <c r="K32" i="44"/>
  <c r="N32" i="44"/>
  <c r="Q32" i="44"/>
  <c r="U32" i="44"/>
  <c r="V32" i="44"/>
  <c r="W32" i="44" s="1"/>
  <c r="E33" i="44"/>
  <c r="K33" i="44"/>
  <c r="N33" i="44"/>
  <c r="Q33" i="44"/>
  <c r="U33" i="44"/>
  <c r="V33" i="44"/>
  <c r="C34" i="44"/>
  <c r="F34" i="44"/>
  <c r="F35" i="44" s="1"/>
  <c r="G34" i="44"/>
  <c r="H34" i="44" s="1"/>
  <c r="I34" i="44"/>
  <c r="I35" i="44" s="1"/>
  <c r="L34" i="44"/>
  <c r="L35" i="44" s="1"/>
  <c r="O34" i="44"/>
  <c r="O35" i="44" s="1"/>
  <c r="R34" i="44"/>
  <c r="R35" i="44" s="1"/>
  <c r="C35" i="44"/>
  <c r="E10" i="43"/>
  <c r="G10" i="43"/>
  <c r="I10" i="43"/>
  <c r="E11" i="43"/>
  <c r="G11" i="43"/>
  <c r="I11" i="43"/>
  <c r="E12" i="43"/>
  <c r="G12" i="43"/>
  <c r="I12" i="43"/>
  <c r="C13" i="43"/>
  <c r="C18" i="43" s="1"/>
  <c r="D13" i="43"/>
  <c r="F13" i="43"/>
  <c r="H13" i="43"/>
  <c r="I13" i="43" s="1"/>
  <c r="E14" i="43"/>
  <c r="G14" i="43"/>
  <c r="I14" i="43"/>
  <c r="E15" i="43"/>
  <c r="G15" i="43"/>
  <c r="I15" i="43"/>
  <c r="E16" i="43"/>
  <c r="G16" i="43"/>
  <c r="I16" i="43"/>
  <c r="E17" i="43"/>
  <c r="G17" i="43"/>
  <c r="I17" i="43"/>
  <c r="E20" i="43"/>
  <c r="G20" i="43"/>
  <c r="I20" i="43"/>
  <c r="E21" i="43"/>
  <c r="G21" i="43"/>
  <c r="I21" i="43"/>
  <c r="E22" i="43"/>
  <c r="G22" i="43"/>
  <c r="I22" i="43"/>
  <c r="E23" i="43"/>
  <c r="G23" i="43"/>
  <c r="I23" i="43"/>
  <c r="C24" i="43"/>
  <c r="D24" i="43"/>
  <c r="F24" i="43"/>
  <c r="H24" i="43"/>
  <c r="E25" i="43"/>
  <c r="G25" i="43"/>
  <c r="I25" i="43"/>
  <c r="E26" i="43"/>
  <c r="G26" i="43"/>
  <c r="I26" i="43"/>
  <c r="E27" i="43"/>
  <c r="G27" i="43"/>
  <c r="I27" i="43"/>
  <c r="E28" i="43"/>
  <c r="G28" i="43"/>
  <c r="I28" i="43"/>
  <c r="E29" i="43"/>
  <c r="G29" i="43"/>
  <c r="I29" i="43"/>
  <c r="E30" i="43"/>
  <c r="G30" i="43"/>
  <c r="I30" i="43"/>
  <c r="E31" i="43"/>
  <c r="G31" i="43"/>
  <c r="I31" i="43"/>
  <c r="C32" i="43"/>
  <c r="F32" i="43"/>
  <c r="C72" i="41"/>
  <c r="D14" i="41" s="1"/>
  <c r="E72" i="41"/>
  <c r="F15" i="41" s="1"/>
  <c r="A3" i="40"/>
  <c r="C10" i="40"/>
  <c r="D10" i="40"/>
  <c r="E10" i="40"/>
  <c r="F10" i="40"/>
  <c r="G10" i="40"/>
  <c r="H10" i="40"/>
  <c r="I10" i="40"/>
  <c r="J10" i="40"/>
  <c r="K10" i="40"/>
  <c r="L10" i="40"/>
  <c r="M10" i="40"/>
  <c r="N10" i="40"/>
  <c r="O10" i="40"/>
  <c r="P10" i="40"/>
  <c r="Q10" i="40"/>
  <c r="R10" i="40"/>
  <c r="S10" i="40"/>
  <c r="C11" i="40"/>
  <c r="D11" i="40"/>
  <c r="E11" i="40"/>
  <c r="F11" i="40"/>
  <c r="G11" i="40"/>
  <c r="H11" i="40"/>
  <c r="I11" i="40"/>
  <c r="J11" i="40"/>
  <c r="K11" i="40"/>
  <c r="L11" i="40"/>
  <c r="M11" i="40"/>
  <c r="N11" i="40"/>
  <c r="O11" i="40"/>
  <c r="P11" i="40"/>
  <c r="Q11" i="40"/>
  <c r="R11" i="40"/>
  <c r="S11" i="40"/>
  <c r="C12" i="40"/>
  <c r="D12" i="40"/>
  <c r="E12" i="40"/>
  <c r="F12" i="40"/>
  <c r="G12" i="40"/>
  <c r="H12" i="40"/>
  <c r="I12" i="40"/>
  <c r="J12" i="40"/>
  <c r="K12" i="40"/>
  <c r="L12" i="40"/>
  <c r="M12" i="40"/>
  <c r="N12" i="40"/>
  <c r="O12" i="40"/>
  <c r="P12" i="40"/>
  <c r="Q12" i="40"/>
  <c r="R12" i="40"/>
  <c r="S12" i="40"/>
  <c r="C13" i="40"/>
  <c r="D13" i="40"/>
  <c r="E13" i="40"/>
  <c r="F13" i="40"/>
  <c r="G13" i="40"/>
  <c r="H13" i="40"/>
  <c r="I13" i="40"/>
  <c r="J13" i="40"/>
  <c r="K13" i="40"/>
  <c r="L13" i="40"/>
  <c r="M13" i="40"/>
  <c r="N13" i="40"/>
  <c r="O13" i="40"/>
  <c r="P13" i="40"/>
  <c r="Q13" i="40"/>
  <c r="R13" i="40"/>
  <c r="S13" i="40"/>
  <c r="C14" i="40"/>
  <c r="D14" i="40"/>
  <c r="E14" i="40"/>
  <c r="F14" i="40"/>
  <c r="G14" i="40"/>
  <c r="H14" i="40"/>
  <c r="I14" i="40"/>
  <c r="J14" i="40"/>
  <c r="K14" i="40"/>
  <c r="L14" i="40"/>
  <c r="M14" i="40"/>
  <c r="N14" i="40"/>
  <c r="O14" i="40"/>
  <c r="P14" i="40"/>
  <c r="Q14" i="40"/>
  <c r="R14" i="40"/>
  <c r="S14" i="40"/>
  <c r="C15" i="40"/>
  <c r="D15" i="40"/>
  <c r="E15" i="40"/>
  <c r="F15" i="40"/>
  <c r="G15" i="40"/>
  <c r="H15" i="40"/>
  <c r="I15" i="40"/>
  <c r="J15" i="40"/>
  <c r="K15" i="40"/>
  <c r="L15" i="40"/>
  <c r="M15" i="40"/>
  <c r="N15" i="40"/>
  <c r="O15" i="40"/>
  <c r="P15" i="40"/>
  <c r="Q15" i="40"/>
  <c r="R15" i="40"/>
  <c r="S15" i="40"/>
  <c r="C16" i="40"/>
  <c r="D16" i="40"/>
  <c r="E16" i="40"/>
  <c r="F16" i="40"/>
  <c r="G16" i="40"/>
  <c r="H16" i="40"/>
  <c r="I16" i="40"/>
  <c r="J16" i="40"/>
  <c r="K16" i="40"/>
  <c r="L16" i="40"/>
  <c r="M16" i="40"/>
  <c r="N16" i="40"/>
  <c r="O16" i="40"/>
  <c r="P16" i="40"/>
  <c r="Q16" i="40"/>
  <c r="R16" i="40"/>
  <c r="S16" i="40"/>
  <c r="C17" i="40"/>
  <c r="D17" i="40"/>
  <c r="E17" i="40"/>
  <c r="F17" i="40"/>
  <c r="G17" i="40"/>
  <c r="H17" i="40"/>
  <c r="I17" i="40"/>
  <c r="J17" i="40"/>
  <c r="K17" i="40"/>
  <c r="L17" i="40"/>
  <c r="M17" i="40"/>
  <c r="N17" i="40"/>
  <c r="O17" i="40"/>
  <c r="P17" i="40"/>
  <c r="Q17" i="40"/>
  <c r="R17" i="40"/>
  <c r="S17" i="40"/>
  <c r="C18" i="40"/>
  <c r="D18" i="40"/>
  <c r="E18" i="40"/>
  <c r="F18" i="40"/>
  <c r="G18" i="40"/>
  <c r="H18" i="40"/>
  <c r="I18" i="40"/>
  <c r="J18" i="40"/>
  <c r="K18" i="40"/>
  <c r="L18" i="40"/>
  <c r="M18" i="40"/>
  <c r="N18" i="40"/>
  <c r="O18" i="40"/>
  <c r="P18" i="40"/>
  <c r="Q18" i="40"/>
  <c r="R18" i="40"/>
  <c r="S18" i="40"/>
  <c r="C19" i="40"/>
  <c r="D19" i="40"/>
  <c r="E19" i="40"/>
  <c r="F19" i="40"/>
  <c r="G19" i="40"/>
  <c r="H19" i="40"/>
  <c r="I19" i="40"/>
  <c r="J19" i="40"/>
  <c r="K19" i="40"/>
  <c r="L19" i="40"/>
  <c r="M19" i="40"/>
  <c r="N19" i="40"/>
  <c r="O19" i="40"/>
  <c r="P19" i="40"/>
  <c r="Q19" i="40"/>
  <c r="R19" i="40"/>
  <c r="S19" i="40"/>
  <c r="T19" i="40"/>
  <c r="C20" i="40"/>
  <c r="D20" i="40"/>
  <c r="E20" i="40"/>
  <c r="F20" i="40"/>
  <c r="F22" i="40" s="1"/>
  <c r="G20" i="40"/>
  <c r="H20" i="40"/>
  <c r="I20" i="40"/>
  <c r="J20" i="40"/>
  <c r="K20" i="40"/>
  <c r="L20" i="40"/>
  <c r="M20" i="40"/>
  <c r="N20" i="40"/>
  <c r="O20" i="40"/>
  <c r="P20" i="40"/>
  <c r="Q20" i="40"/>
  <c r="R20" i="40"/>
  <c r="S20" i="40"/>
  <c r="C21" i="40"/>
  <c r="D21" i="40"/>
  <c r="E21" i="40"/>
  <c r="F21" i="40"/>
  <c r="G21" i="40"/>
  <c r="H21" i="40"/>
  <c r="I21" i="40"/>
  <c r="I22" i="40" s="1"/>
  <c r="J21" i="40"/>
  <c r="K21" i="40"/>
  <c r="L21" i="40"/>
  <c r="M21" i="40"/>
  <c r="N21" i="40"/>
  <c r="O21" i="40"/>
  <c r="P21" i="40"/>
  <c r="Q21" i="40"/>
  <c r="Q22" i="40" s="1"/>
  <c r="R21" i="40"/>
  <c r="S21" i="40"/>
  <c r="T43" i="40"/>
  <c r="T44" i="40"/>
  <c r="T45" i="40"/>
  <c r="T46" i="40"/>
  <c r="T47" i="40"/>
  <c r="T50" i="40"/>
  <c r="T52" i="40"/>
  <c r="T53" i="40"/>
  <c r="T54" i="40"/>
  <c r="C55" i="40"/>
  <c r="D55" i="40"/>
  <c r="E55" i="40"/>
  <c r="F55" i="40"/>
  <c r="G55" i="40"/>
  <c r="H55" i="40"/>
  <c r="I55" i="40"/>
  <c r="J55" i="40"/>
  <c r="K55" i="40"/>
  <c r="L55" i="40"/>
  <c r="M55" i="40"/>
  <c r="N55" i="40"/>
  <c r="O55" i="40"/>
  <c r="P55" i="40"/>
  <c r="Q55" i="40"/>
  <c r="R55" i="40"/>
  <c r="S55" i="40"/>
  <c r="C9" i="39"/>
  <c r="H9" i="39"/>
  <c r="C10" i="39"/>
  <c r="H10" i="39"/>
  <c r="C11" i="39"/>
  <c r="H11" i="39"/>
  <c r="C12" i="39"/>
  <c r="H12" i="39"/>
  <c r="C13" i="39"/>
  <c r="H13" i="39"/>
  <c r="C14" i="39"/>
  <c r="H14" i="39"/>
  <c r="C15" i="39"/>
  <c r="H15" i="39"/>
  <c r="C16" i="39"/>
  <c r="H16" i="39"/>
  <c r="C17" i="39"/>
  <c r="H17" i="39"/>
  <c r="C18" i="39"/>
  <c r="H18" i="39"/>
  <c r="C19" i="39"/>
  <c r="H19" i="39"/>
  <c r="C20" i="39"/>
  <c r="H20" i="39"/>
  <c r="D21" i="39"/>
  <c r="J20" i="38" s="1"/>
  <c r="E21" i="39"/>
  <c r="L20" i="38" s="1"/>
  <c r="F21" i="39"/>
  <c r="N20" i="38" s="1"/>
  <c r="G21" i="39"/>
  <c r="P20" i="38" s="1"/>
  <c r="I21" i="39"/>
  <c r="T20" i="38" s="1"/>
  <c r="J21" i="39"/>
  <c r="V20" i="38" s="1"/>
  <c r="K21" i="39"/>
  <c r="X20" i="38" s="1"/>
  <c r="L21" i="39"/>
  <c r="Z20" i="38" s="1"/>
  <c r="M21" i="39"/>
  <c r="AB20" i="38" s="1"/>
  <c r="N21" i="39"/>
  <c r="AD20" i="38" s="1"/>
  <c r="O21" i="39"/>
  <c r="A33" i="39"/>
  <c r="N39" i="39"/>
  <c r="N40" i="39"/>
  <c r="N41" i="39"/>
  <c r="N42" i="39"/>
  <c r="N43" i="39"/>
  <c r="N44" i="39"/>
  <c r="N45" i="39"/>
  <c r="N46" i="39"/>
  <c r="N47" i="39"/>
  <c r="N48" i="39"/>
  <c r="N49" i="39"/>
  <c r="N50" i="39"/>
  <c r="C51" i="39"/>
  <c r="D51" i="39"/>
  <c r="E51" i="39"/>
  <c r="F51" i="39"/>
  <c r="G51" i="39"/>
  <c r="H51" i="39"/>
  <c r="I51" i="39"/>
  <c r="J51" i="39"/>
  <c r="K51" i="39"/>
  <c r="L51" i="39"/>
  <c r="M51" i="39"/>
  <c r="J66" i="39"/>
  <c r="J68" i="39"/>
  <c r="J69" i="39"/>
  <c r="J70" i="39"/>
  <c r="J72" i="39"/>
  <c r="J73" i="39"/>
  <c r="J74" i="39"/>
  <c r="J76" i="39"/>
  <c r="J77" i="39"/>
  <c r="H78" i="39"/>
  <c r="I78" i="39"/>
  <c r="J67" i="39" s="1"/>
  <c r="F20" i="37"/>
  <c r="H20" i="37"/>
  <c r="R20" i="37"/>
  <c r="B11" i="36"/>
  <c r="C11" i="36" s="1"/>
  <c r="D11" i="36"/>
  <c r="E11" i="36" s="1"/>
  <c r="J11" i="36"/>
  <c r="K11" i="36" s="1"/>
  <c r="L11" i="36"/>
  <c r="M11" i="36" s="1"/>
  <c r="N11" i="36"/>
  <c r="O11" i="36" s="1"/>
  <c r="P11" i="36"/>
  <c r="Q11" i="36" s="1"/>
  <c r="T11" i="36"/>
  <c r="U11" i="36" s="1"/>
  <c r="V11" i="36"/>
  <c r="W11" i="36" s="1"/>
  <c r="X11" i="36"/>
  <c r="Y11" i="36" s="1"/>
  <c r="Z11" i="36"/>
  <c r="AA11" i="36" s="1"/>
  <c r="AB11" i="36"/>
  <c r="AC11" i="36" s="1"/>
  <c r="AD11" i="36"/>
  <c r="AE11" i="36" s="1"/>
  <c r="B12" i="36"/>
  <c r="C12" i="36" s="1"/>
  <c r="D12" i="36"/>
  <c r="E12" i="36" s="1"/>
  <c r="J12" i="36"/>
  <c r="K12" i="36" s="1"/>
  <c r="L12" i="36"/>
  <c r="M12" i="36" s="1"/>
  <c r="N12" i="36"/>
  <c r="O12" i="36" s="1"/>
  <c r="P12" i="36"/>
  <c r="Q12" i="36" s="1"/>
  <c r="T12" i="36"/>
  <c r="U12" i="36" s="1"/>
  <c r="V12" i="36"/>
  <c r="W12" i="36" s="1"/>
  <c r="X12" i="36"/>
  <c r="Y12" i="36" s="1"/>
  <c r="Z12" i="36"/>
  <c r="AA12" i="36" s="1"/>
  <c r="AB12" i="36"/>
  <c r="AC12" i="36" s="1"/>
  <c r="AD12" i="36"/>
  <c r="AE12" i="36" s="1"/>
  <c r="B13" i="36"/>
  <c r="C13" i="36" s="1"/>
  <c r="D13" i="36"/>
  <c r="E13" i="36" s="1"/>
  <c r="J13" i="36"/>
  <c r="K13" i="36" s="1"/>
  <c r="L13" i="36"/>
  <c r="M13" i="36" s="1"/>
  <c r="N13" i="36"/>
  <c r="O13" i="36" s="1"/>
  <c r="P13" i="36"/>
  <c r="Q13" i="36" s="1"/>
  <c r="T13" i="36"/>
  <c r="U13" i="36" s="1"/>
  <c r="V13" i="36"/>
  <c r="W13" i="36" s="1"/>
  <c r="X13" i="36"/>
  <c r="Y13" i="36" s="1"/>
  <c r="Z13" i="36"/>
  <c r="AA13" i="36" s="1"/>
  <c r="AB13" i="36"/>
  <c r="AC13" i="36" s="1"/>
  <c r="AD13" i="36"/>
  <c r="AE13" i="36" s="1"/>
  <c r="C14" i="36"/>
  <c r="E14" i="36"/>
  <c r="J14" i="36"/>
  <c r="K14" i="36" s="1"/>
  <c r="L14" i="36"/>
  <c r="M14" i="36" s="1"/>
  <c r="N14" i="36"/>
  <c r="O14" i="36" s="1"/>
  <c r="P14" i="36"/>
  <c r="Q14" i="36" s="1"/>
  <c r="T14" i="36"/>
  <c r="U14" i="36" s="1"/>
  <c r="V14" i="36"/>
  <c r="W14" i="36" s="1"/>
  <c r="X14" i="36"/>
  <c r="Y14" i="36" s="1"/>
  <c r="Z14" i="36"/>
  <c r="AA14" i="36" s="1"/>
  <c r="AB14" i="36"/>
  <c r="AC14" i="36" s="1"/>
  <c r="AD14" i="36"/>
  <c r="AE14" i="36" s="1"/>
  <c r="C15" i="36"/>
  <c r="E15" i="36"/>
  <c r="J15" i="36"/>
  <c r="K15" i="36" s="1"/>
  <c r="L15" i="36"/>
  <c r="M15" i="36" s="1"/>
  <c r="N15" i="36"/>
  <c r="O15" i="36" s="1"/>
  <c r="P15" i="36"/>
  <c r="Q15" i="36" s="1"/>
  <c r="T15" i="36"/>
  <c r="U15" i="36" s="1"/>
  <c r="V15" i="36"/>
  <c r="W15" i="36" s="1"/>
  <c r="X15" i="36"/>
  <c r="Y15" i="36" s="1"/>
  <c r="Z15" i="36"/>
  <c r="AA15" i="36" s="1"/>
  <c r="AB15" i="36"/>
  <c r="AC15" i="36" s="1"/>
  <c r="AD15" i="36"/>
  <c r="AE15" i="36" s="1"/>
  <c r="C16" i="36"/>
  <c r="E16" i="36"/>
  <c r="J16" i="36"/>
  <c r="K16" i="36" s="1"/>
  <c r="L16" i="36"/>
  <c r="M16" i="36" s="1"/>
  <c r="N16" i="36"/>
  <c r="O16" i="36" s="1"/>
  <c r="P16" i="36"/>
  <c r="Q16" i="36" s="1"/>
  <c r="T16" i="36"/>
  <c r="U16" i="36" s="1"/>
  <c r="V16" i="36"/>
  <c r="W16" i="36" s="1"/>
  <c r="X16" i="36"/>
  <c r="Y16" i="36" s="1"/>
  <c r="Z16" i="36"/>
  <c r="AA16" i="36" s="1"/>
  <c r="AB16" i="36"/>
  <c r="AC16" i="36" s="1"/>
  <c r="AD16" i="36"/>
  <c r="AE16" i="36" s="1"/>
  <c r="B17" i="36"/>
  <c r="C17" i="36" s="1"/>
  <c r="D17" i="36"/>
  <c r="E17" i="36" s="1"/>
  <c r="J17" i="36"/>
  <c r="K17" i="36" s="1"/>
  <c r="L17" i="36"/>
  <c r="M17" i="36" s="1"/>
  <c r="N17" i="36"/>
  <c r="O17" i="36" s="1"/>
  <c r="P17" i="36"/>
  <c r="Q17" i="36" s="1"/>
  <c r="T17" i="36"/>
  <c r="U17" i="36" s="1"/>
  <c r="V17" i="36"/>
  <c r="W17" i="36" s="1"/>
  <c r="X17" i="36"/>
  <c r="Y17" i="36" s="1"/>
  <c r="Z17" i="36"/>
  <c r="AA17" i="36" s="1"/>
  <c r="AB17" i="36"/>
  <c r="AC17" i="36" s="1"/>
  <c r="AD17" i="36"/>
  <c r="AE17" i="36" s="1"/>
  <c r="J18" i="36"/>
  <c r="K18" i="36" s="1"/>
  <c r="L18" i="36"/>
  <c r="M18" i="36" s="1"/>
  <c r="N18" i="36"/>
  <c r="O18" i="36" s="1"/>
  <c r="P18" i="36"/>
  <c r="Q18" i="36" s="1"/>
  <c r="T18" i="36"/>
  <c r="U18" i="36" s="1"/>
  <c r="V18" i="36"/>
  <c r="W18" i="36" s="1"/>
  <c r="X18" i="36"/>
  <c r="Y18" i="36" s="1"/>
  <c r="Z18" i="36"/>
  <c r="AA18" i="36" s="1"/>
  <c r="AB18" i="36"/>
  <c r="AC18" i="36" s="1"/>
  <c r="AD18" i="36"/>
  <c r="AE18" i="36" s="1"/>
  <c r="J19" i="36"/>
  <c r="K19" i="36" s="1"/>
  <c r="L19" i="36"/>
  <c r="M19" i="36" s="1"/>
  <c r="N19" i="36"/>
  <c r="O19" i="36" s="1"/>
  <c r="P19" i="36"/>
  <c r="Q19" i="36" s="1"/>
  <c r="T19" i="36"/>
  <c r="U19" i="36" s="1"/>
  <c r="V19" i="36"/>
  <c r="W19" i="36" s="1"/>
  <c r="X19" i="36"/>
  <c r="Y19" i="36" s="1"/>
  <c r="Z19" i="36"/>
  <c r="AA19" i="36" s="1"/>
  <c r="AB19" i="36"/>
  <c r="AC19" i="36" s="1"/>
  <c r="AD19" i="36"/>
  <c r="AE19" i="36" s="1"/>
  <c r="L20" i="36"/>
  <c r="N20" i="36"/>
  <c r="P20" i="36"/>
  <c r="T20" i="36"/>
  <c r="V20" i="36"/>
  <c r="X20" i="36"/>
  <c r="Z20" i="36"/>
  <c r="AB20" i="36"/>
  <c r="AD20" i="36"/>
  <c r="F20" i="35"/>
  <c r="H20" i="35"/>
  <c r="M20" i="35"/>
  <c r="R20" i="35"/>
  <c r="F20" i="34"/>
  <c r="H20" i="34"/>
  <c r="R20" i="34"/>
  <c r="B23" i="34"/>
  <c r="F20" i="33"/>
  <c r="H20" i="33"/>
  <c r="R20" i="33"/>
  <c r="B23" i="33"/>
  <c r="B23" i="37" s="1"/>
  <c r="B23" i="32"/>
  <c r="A11" i="31"/>
  <c r="A11" i="32" s="1"/>
  <c r="A11" i="33" s="1"/>
  <c r="A11" i="34" s="1"/>
  <c r="A11" i="35" s="1"/>
  <c r="A11" i="36" s="1"/>
  <c r="A11" i="37" s="1"/>
  <c r="A11" i="38" s="1"/>
  <c r="A12" i="31"/>
  <c r="A12" i="32" s="1"/>
  <c r="A12" i="33" s="1"/>
  <c r="A12" i="34" s="1"/>
  <c r="A12" i="35" s="1"/>
  <c r="A12" i="36" s="1"/>
  <c r="A12" i="37" s="1"/>
  <c r="A12" i="38" s="1"/>
  <c r="A13" i="31"/>
  <c r="A13" i="32" s="1"/>
  <c r="A13" i="33" s="1"/>
  <c r="A13" i="34" s="1"/>
  <c r="A13" i="35" s="1"/>
  <c r="A13" i="36" s="1"/>
  <c r="A13" i="37" s="1"/>
  <c r="A13" i="38" s="1"/>
  <c r="A14" i="31"/>
  <c r="A14" i="32" s="1"/>
  <c r="A14" i="33" s="1"/>
  <c r="A14" i="34" s="1"/>
  <c r="A14" i="35" s="1"/>
  <c r="A14" i="36" s="1"/>
  <c r="A14" i="37" s="1"/>
  <c r="A14" i="38" s="1"/>
  <c r="A15" i="31"/>
  <c r="A15" i="32" s="1"/>
  <c r="A15" i="33" s="1"/>
  <c r="A15" i="34" s="1"/>
  <c r="A15" i="35" s="1"/>
  <c r="A15" i="36" s="1"/>
  <c r="A15" i="37" s="1"/>
  <c r="A15" i="38" s="1"/>
  <c r="A16" i="31"/>
  <c r="A16" i="32" s="1"/>
  <c r="A16" i="33" s="1"/>
  <c r="A16" i="34" s="1"/>
  <c r="A16" i="35" s="1"/>
  <c r="A16" i="36" s="1"/>
  <c r="A16" i="37" s="1"/>
  <c r="A16" i="38" s="1"/>
  <c r="A17" i="31"/>
  <c r="A17" i="32" s="1"/>
  <c r="A17" i="33" s="1"/>
  <c r="A17" i="34" s="1"/>
  <c r="A17" i="35" s="1"/>
  <c r="A17" i="36" s="1"/>
  <c r="A17" i="37" s="1"/>
  <c r="A17" i="38" s="1"/>
  <c r="A18" i="31"/>
  <c r="A18" i="32" s="1"/>
  <c r="A18" i="33" s="1"/>
  <c r="A18" i="34" s="1"/>
  <c r="A18" i="35" s="1"/>
  <c r="A18" i="36" s="1"/>
  <c r="A18" i="37" s="1"/>
  <c r="A18" i="38" s="1"/>
  <c r="A19" i="31"/>
  <c r="A19" i="32" s="1"/>
  <c r="A19" i="33" s="1"/>
  <c r="A19" i="34" s="1"/>
  <c r="A19" i="35" s="1"/>
  <c r="A19" i="36" s="1"/>
  <c r="A19" i="37" s="1"/>
  <c r="A19" i="38" s="1"/>
  <c r="A20" i="31"/>
  <c r="A20" i="32" s="1"/>
  <c r="A20" i="33" s="1"/>
  <c r="A20" i="34" s="1"/>
  <c r="A20" i="35" s="1"/>
  <c r="A20" i="36" s="1"/>
  <c r="A20" i="37" s="1"/>
  <c r="A20" i="38" s="1"/>
  <c r="B23" i="31"/>
  <c r="A3" i="30"/>
  <c r="A3" i="31" s="1"/>
  <c r="A3" i="32" s="1"/>
  <c r="A3" i="33" s="1"/>
  <c r="A3" i="34" s="1"/>
  <c r="A3" i="35" s="1"/>
  <c r="A3" i="36" s="1"/>
  <c r="A3" i="37" s="1"/>
  <c r="A3" i="38" s="1"/>
  <c r="K20" i="37"/>
  <c r="M20" i="37"/>
  <c r="O20" i="37"/>
  <c r="Q20" i="37"/>
  <c r="U20" i="37"/>
  <c r="W20" i="37"/>
  <c r="Y20" i="37"/>
  <c r="AA20" i="37"/>
  <c r="AC20" i="37"/>
  <c r="AE20" i="37"/>
  <c r="A3" i="103"/>
  <c r="N8" i="103"/>
  <c r="N9" i="103"/>
  <c r="N10" i="103"/>
  <c r="C11" i="103"/>
  <c r="D11" i="103"/>
  <c r="E11" i="103"/>
  <c r="F11" i="103"/>
  <c r="G11" i="103"/>
  <c r="H11" i="103"/>
  <c r="I11" i="103"/>
  <c r="J11" i="103"/>
  <c r="K11" i="103"/>
  <c r="L11" i="103"/>
  <c r="M11" i="103"/>
  <c r="N12" i="103"/>
  <c r="N13" i="103"/>
  <c r="N14" i="103"/>
  <c r="N15" i="103"/>
  <c r="N16" i="103"/>
  <c r="N17" i="103"/>
  <c r="N18" i="103"/>
  <c r="C19" i="103"/>
  <c r="D19" i="103"/>
  <c r="E19" i="103"/>
  <c r="F19" i="103"/>
  <c r="G19" i="103"/>
  <c r="H19" i="103"/>
  <c r="I19" i="103"/>
  <c r="J19" i="103"/>
  <c r="K19" i="103"/>
  <c r="L19" i="103"/>
  <c r="M19" i="103"/>
  <c r="N20" i="103"/>
  <c r="N21" i="103"/>
  <c r="N22" i="103"/>
  <c r="N23" i="103"/>
  <c r="D24" i="103"/>
  <c r="L8" i="104"/>
  <c r="L9" i="104"/>
  <c r="L10" i="104"/>
  <c r="L11" i="104"/>
  <c r="L12" i="104"/>
  <c r="C13" i="104"/>
  <c r="D13" i="104"/>
  <c r="E13" i="104"/>
  <c r="E23" i="104" s="1"/>
  <c r="F13" i="104"/>
  <c r="G13" i="104"/>
  <c r="H13" i="104"/>
  <c r="I13" i="104"/>
  <c r="I23" i="104" s="1"/>
  <c r="J13" i="104"/>
  <c r="J23" i="104" s="1"/>
  <c r="K13" i="104"/>
  <c r="L14" i="104"/>
  <c r="L15" i="104"/>
  <c r="C16" i="104"/>
  <c r="C23" i="104" s="1"/>
  <c r="D16" i="104"/>
  <c r="E16" i="104"/>
  <c r="F16" i="104"/>
  <c r="G16" i="104"/>
  <c r="H16" i="104"/>
  <c r="I16" i="104"/>
  <c r="J16" i="104"/>
  <c r="K16" i="104"/>
  <c r="K23" i="104" s="1"/>
  <c r="L17" i="104"/>
  <c r="L18" i="104"/>
  <c r="L19" i="104"/>
  <c r="L22" i="104" s="1"/>
  <c r="L20" i="104"/>
  <c r="L21" i="104"/>
  <c r="G23" i="104"/>
  <c r="A3" i="15"/>
  <c r="K7" i="14"/>
  <c r="K8" i="14"/>
  <c r="K9" i="14"/>
  <c r="K10" i="14"/>
  <c r="K11" i="14"/>
  <c r="K12" i="14"/>
  <c r="K13" i="14"/>
  <c r="K14" i="14"/>
  <c r="K15" i="14"/>
  <c r="K16" i="14"/>
  <c r="B8" i="21"/>
  <c r="C8" i="21"/>
  <c r="D8" i="21"/>
  <c r="E8" i="21"/>
  <c r="F8" i="21"/>
  <c r="G8" i="21"/>
  <c r="H8" i="21"/>
  <c r="I8" i="21"/>
  <c r="J8" i="21"/>
  <c r="B9" i="21"/>
  <c r="C9" i="21"/>
  <c r="D9" i="21"/>
  <c r="E9" i="21"/>
  <c r="F9" i="21"/>
  <c r="G9" i="21"/>
  <c r="H9" i="21"/>
  <c r="I9" i="21"/>
  <c r="J9" i="21"/>
  <c r="B10" i="21"/>
  <c r="C10" i="21"/>
  <c r="D10" i="21"/>
  <c r="E10" i="21"/>
  <c r="F10" i="21"/>
  <c r="G10" i="21"/>
  <c r="H10" i="21"/>
  <c r="I10" i="21"/>
  <c r="J10" i="21"/>
  <c r="B11" i="21"/>
  <c r="C11" i="21"/>
  <c r="D11" i="21"/>
  <c r="E11" i="21"/>
  <c r="F11" i="21"/>
  <c r="G11" i="21"/>
  <c r="H11" i="21"/>
  <c r="I11" i="21"/>
  <c r="J11" i="21"/>
  <c r="B12" i="21"/>
  <c r="C12" i="21"/>
  <c r="D12" i="21"/>
  <c r="E12" i="21"/>
  <c r="F12" i="21"/>
  <c r="G12" i="21"/>
  <c r="H12" i="21"/>
  <c r="J12" i="21"/>
  <c r="B14" i="21"/>
  <c r="C14" i="21"/>
  <c r="D14" i="21"/>
  <c r="E14" i="21"/>
  <c r="F14" i="21"/>
  <c r="G14" i="21"/>
  <c r="H14" i="21"/>
  <c r="I14" i="21"/>
  <c r="J14" i="21"/>
  <c r="B15" i="21"/>
  <c r="C15" i="21"/>
  <c r="D15" i="21"/>
  <c r="E15" i="21"/>
  <c r="F15" i="21"/>
  <c r="G15" i="21"/>
  <c r="H15" i="21"/>
  <c r="I15" i="21"/>
  <c r="J15" i="21"/>
  <c r="B16" i="21"/>
  <c r="C16" i="21"/>
  <c r="D16" i="21"/>
  <c r="E16" i="21"/>
  <c r="F16" i="21"/>
  <c r="G16" i="21"/>
  <c r="H16" i="21"/>
  <c r="I16" i="21"/>
  <c r="J16" i="21"/>
  <c r="B17" i="21"/>
  <c r="C17" i="21"/>
  <c r="D17" i="21"/>
  <c r="E17" i="21"/>
  <c r="F17" i="21"/>
  <c r="G17" i="21"/>
  <c r="H17" i="21"/>
  <c r="I17" i="21"/>
  <c r="J17" i="21"/>
  <c r="B18" i="21"/>
  <c r="C18" i="21"/>
  <c r="D18" i="21"/>
  <c r="E18" i="21"/>
  <c r="F18" i="21"/>
  <c r="G18" i="21"/>
  <c r="H18" i="21"/>
  <c r="I18" i="21"/>
  <c r="J18" i="21"/>
  <c r="B19" i="21"/>
  <c r="C19" i="21"/>
  <c r="D19" i="21"/>
  <c r="E19" i="21"/>
  <c r="F19" i="21"/>
  <c r="G19" i="21"/>
  <c r="H19" i="21"/>
  <c r="I19" i="21"/>
  <c r="J19" i="21"/>
  <c r="B20" i="21"/>
  <c r="C20" i="21"/>
  <c r="D20" i="21"/>
  <c r="E20" i="21"/>
  <c r="F20" i="21"/>
  <c r="G20" i="21"/>
  <c r="H20" i="21"/>
  <c r="I20" i="21"/>
  <c r="B21" i="21"/>
  <c r="C21" i="21"/>
  <c r="D21" i="21"/>
  <c r="E21" i="21"/>
  <c r="F21" i="21"/>
  <c r="G21" i="21"/>
  <c r="H21" i="21"/>
  <c r="I21" i="21"/>
  <c r="J21" i="21"/>
  <c r="B3" i="13"/>
  <c r="A3" i="12"/>
  <c r="K10" i="12"/>
  <c r="D11" i="12"/>
  <c r="E11" i="12"/>
  <c r="K11" i="12"/>
  <c r="D12" i="12"/>
  <c r="K12" i="12"/>
  <c r="D13" i="12"/>
  <c r="J13" i="12"/>
  <c r="D14" i="12"/>
  <c r="J14" i="12"/>
  <c r="K14" i="12"/>
  <c r="D15" i="12"/>
  <c r="K18" i="12"/>
  <c r="B19" i="12"/>
  <c r="K19" i="12"/>
  <c r="B20" i="12"/>
  <c r="K20" i="12"/>
  <c r="B21" i="12"/>
  <c r="K21" i="12"/>
  <c r="K22" i="12"/>
  <c r="K23" i="12"/>
  <c r="D25" i="12"/>
  <c r="E25" i="12"/>
  <c r="F25" i="12"/>
  <c r="G25" i="12"/>
  <c r="H25" i="12"/>
  <c r="I25" i="12"/>
  <c r="J25" i="12"/>
  <c r="B26" i="12"/>
  <c r="B25" i="12" s="1"/>
  <c r="C11" i="15" s="1"/>
  <c r="K26" i="12"/>
  <c r="B27" i="12"/>
  <c r="K27" i="12"/>
  <c r="H30" i="12"/>
  <c r="K30" i="12"/>
  <c r="D31" i="12"/>
  <c r="F31" i="12"/>
  <c r="J31" i="12"/>
  <c r="K31" i="12"/>
  <c r="D32" i="12"/>
  <c r="F32" i="12"/>
  <c r="G32" i="12"/>
  <c r="J32" i="12"/>
  <c r="K32" i="12"/>
  <c r="D37" i="12"/>
  <c r="E37" i="12"/>
  <c r="F37" i="12"/>
  <c r="G37" i="12"/>
  <c r="H37" i="12"/>
  <c r="I37" i="12"/>
  <c r="J37" i="12"/>
  <c r="B38" i="12"/>
  <c r="K38" i="12"/>
  <c r="B39" i="12"/>
  <c r="K39" i="12"/>
  <c r="B40" i="12"/>
  <c r="K40" i="12"/>
  <c r="B41" i="12"/>
  <c r="K41" i="12"/>
  <c r="D44" i="12"/>
  <c r="E44" i="12"/>
  <c r="F44" i="12"/>
  <c r="G44" i="12"/>
  <c r="H44" i="12"/>
  <c r="I44" i="12"/>
  <c r="J44" i="12"/>
  <c r="K44" i="12"/>
  <c r="K45" i="12"/>
  <c r="D46" i="12"/>
  <c r="E46" i="12"/>
  <c r="F46" i="12"/>
  <c r="G46" i="12"/>
  <c r="H46" i="12"/>
  <c r="I46" i="12"/>
  <c r="J46" i="12"/>
  <c r="K46" i="12"/>
  <c r="D47" i="12"/>
  <c r="E47" i="12"/>
  <c r="F47" i="12"/>
  <c r="G47" i="12"/>
  <c r="H47" i="12"/>
  <c r="I47" i="12"/>
  <c r="J47" i="12"/>
  <c r="K47" i="12"/>
  <c r="K48" i="12"/>
  <c r="D49" i="12"/>
  <c r="E49" i="12"/>
  <c r="F49" i="12"/>
  <c r="G49" i="12"/>
  <c r="H49" i="12"/>
  <c r="I49" i="12"/>
  <c r="J49" i="12"/>
  <c r="K49" i="12"/>
  <c r="K50" i="12"/>
  <c r="K51" i="12"/>
  <c r="D52" i="12"/>
  <c r="E52" i="12"/>
  <c r="F52" i="12"/>
  <c r="G52" i="12"/>
  <c r="H52" i="12"/>
  <c r="I52" i="12"/>
  <c r="J52" i="12"/>
  <c r="K52" i="12"/>
  <c r="D53" i="12"/>
  <c r="E53" i="12"/>
  <c r="F53" i="12"/>
  <c r="G53" i="12"/>
  <c r="H53" i="12"/>
  <c r="I53" i="12"/>
  <c r="J53" i="12"/>
  <c r="K53" i="12"/>
  <c r="D54" i="12"/>
  <c r="E54" i="12"/>
  <c r="F54" i="12"/>
  <c r="G54" i="12"/>
  <c r="H54" i="12"/>
  <c r="I54" i="12"/>
  <c r="J54" i="12"/>
  <c r="K54" i="12"/>
  <c r="K57" i="12"/>
  <c r="D58" i="12"/>
  <c r="E58" i="12"/>
  <c r="F58" i="12"/>
  <c r="K58" i="12"/>
  <c r="D59" i="12"/>
  <c r="E59" i="12"/>
  <c r="G59" i="12"/>
  <c r="J59" i="12"/>
  <c r="K59" i="12"/>
  <c r="K62" i="12"/>
  <c r="D63" i="12"/>
  <c r="K63" i="12"/>
  <c r="D64" i="12"/>
  <c r="K64" i="12"/>
  <c r="D65" i="12"/>
  <c r="K65" i="12"/>
  <c r="D68" i="12"/>
  <c r="J68" i="12"/>
  <c r="K68" i="12"/>
  <c r="D69" i="12"/>
  <c r="G69" i="12"/>
  <c r="J69" i="12"/>
  <c r="K69" i="12"/>
  <c r="D70" i="12"/>
  <c r="G70" i="12"/>
  <c r="J70" i="12"/>
  <c r="K70" i="12"/>
  <c r="D71" i="12"/>
  <c r="G71" i="12"/>
  <c r="J71" i="12"/>
  <c r="K71" i="12"/>
  <c r="D74" i="12"/>
  <c r="E74" i="12"/>
  <c r="F74" i="12"/>
  <c r="G74" i="12"/>
  <c r="K74" i="12"/>
  <c r="D75" i="12"/>
  <c r="E75" i="12"/>
  <c r="F75" i="12"/>
  <c r="G75" i="12"/>
  <c r="H75" i="12"/>
  <c r="I75" i="12"/>
  <c r="J75" i="12"/>
  <c r="K75" i="12"/>
  <c r="D76" i="12"/>
  <c r="E76" i="12"/>
  <c r="F76" i="12"/>
  <c r="G76" i="12"/>
  <c r="K76" i="12"/>
  <c r="D77" i="12"/>
  <c r="E77" i="12"/>
  <c r="F77" i="12"/>
  <c r="G77" i="12"/>
  <c r="K77" i="12"/>
  <c r="D78" i="12"/>
  <c r="E78" i="12"/>
  <c r="F78" i="12"/>
  <c r="G78" i="12"/>
  <c r="K78" i="12"/>
  <c r="D79" i="12"/>
  <c r="E79" i="12"/>
  <c r="F79" i="12"/>
  <c r="G79" i="12"/>
  <c r="K79" i="12"/>
  <c r="D80" i="12"/>
  <c r="E80" i="12"/>
  <c r="F80" i="12"/>
  <c r="G80" i="12"/>
  <c r="K80" i="12"/>
  <c r="D81" i="12"/>
  <c r="E81" i="12"/>
  <c r="F81" i="12"/>
  <c r="G81" i="12"/>
  <c r="K81" i="12"/>
  <c r="D82" i="12"/>
  <c r="E82" i="12"/>
  <c r="F82" i="12"/>
  <c r="G82" i="12"/>
  <c r="K82" i="12"/>
  <c r="D83" i="12"/>
  <c r="E83" i="12"/>
  <c r="F83" i="12"/>
  <c r="G83" i="12"/>
  <c r="K83" i="12"/>
  <c r="A88" i="12"/>
  <c r="D9" i="11"/>
  <c r="E9" i="11"/>
  <c r="F9" i="11"/>
  <c r="G9" i="11"/>
  <c r="H9" i="11"/>
  <c r="I9" i="11"/>
  <c r="J9" i="11"/>
  <c r="K9" i="11"/>
  <c r="L9" i="11"/>
  <c r="B10" i="11"/>
  <c r="B11" i="11"/>
  <c r="B12" i="11"/>
  <c r="B13" i="11"/>
  <c r="B14" i="11"/>
  <c r="B15" i="11"/>
  <c r="D17" i="11"/>
  <c r="E17" i="11"/>
  <c r="F17" i="11"/>
  <c r="G17" i="11"/>
  <c r="H17" i="11"/>
  <c r="I17" i="11"/>
  <c r="J17" i="11"/>
  <c r="K17" i="11"/>
  <c r="L17" i="11"/>
  <c r="B18" i="11"/>
  <c r="B19" i="11"/>
  <c r="B20" i="11"/>
  <c r="B21" i="11"/>
  <c r="B22" i="11"/>
  <c r="B23" i="11"/>
  <c r="D25" i="11"/>
  <c r="E25" i="11"/>
  <c r="F25" i="11"/>
  <c r="G25" i="11"/>
  <c r="H25" i="11"/>
  <c r="I25" i="11"/>
  <c r="J25" i="11"/>
  <c r="K25" i="11"/>
  <c r="L25" i="11"/>
  <c r="B26" i="11"/>
  <c r="B27" i="11"/>
  <c r="D29" i="11"/>
  <c r="E29" i="11"/>
  <c r="F29" i="11"/>
  <c r="G29" i="11"/>
  <c r="H29" i="11"/>
  <c r="I29" i="11"/>
  <c r="J29" i="11"/>
  <c r="K29" i="11"/>
  <c r="L29" i="11"/>
  <c r="B30" i="11"/>
  <c r="B31" i="11"/>
  <c r="B32" i="11"/>
  <c r="D37" i="11"/>
  <c r="E37" i="11"/>
  <c r="F37" i="11"/>
  <c r="G37" i="11"/>
  <c r="H37" i="11"/>
  <c r="I37" i="11"/>
  <c r="J37" i="11"/>
  <c r="K37" i="11"/>
  <c r="L37" i="11"/>
  <c r="B38" i="11"/>
  <c r="B39" i="11"/>
  <c r="B40" i="11"/>
  <c r="B41" i="11"/>
  <c r="D43" i="11"/>
  <c r="E43" i="11"/>
  <c r="F43" i="11"/>
  <c r="G43" i="11"/>
  <c r="H43" i="11"/>
  <c r="I43" i="11"/>
  <c r="J43" i="11"/>
  <c r="K43" i="11"/>
  <c r="L43" i="11"/>
  <c r="B44" i="11"/>
  <c r="B45" i="11"/>
  <c r="B46" i="11"/>
  <c r="B47" i="11"/>
  <c r="B48" i="11"/>
  <c r="B49" i="11"/>
  <c r="B50" i="11"/>
  <c r="B51" i="11"/>
  <c r="B52" i="11"/>
  <c r="B53" i="11"/>
  <c r="B54" i="11"/>
  <c r="D56" i="11"/>
  <c r="E56" i="11"/>
  <c r="F56" i="11"/>
  <c r="G56" i="11"/>
  <c r="H56" i="11"/>
  <c r="I56" i="11"/>
  <c r="J56" i="11"/>
  <c r="K56" i="11"/>
  <c r="L56" i="11"/>
  <c r="B57" i="11"/>
  <c r="B58" i="11"/>
  <c r="B59" i="11"/>
  <c r="D61" i="11"/>
  <c r="E61" i="11"/>
  <c r="F61" i="11"/>
  <c r="G61" i="11"/>
  <c r="H61" i="11"/>
  <c r="I61" i="11"/>
  <c r="J61" i="11"/>
  <c r="K61" i="11"/>
  <c r="L61" i="11"/>
  <c r="B62" i="11"/>
  <c r="B63" i="11"/>
  <c r="B64" i="11"/>
  <c r="B65" i="11"/>
  <c r="D67" i="11"/>
  <c r="E67" i="11"/>
  <c r="F67" i="11"/>
  <c r="G67" i="11"/>
  <c r="H67" i="11"/>
  <c r="I67" i="11"/>
  <c r="J67" i="11"/>
  <c r="K67" i="11"/>
  <c r="L67" i="11"/>
  <c r="B68" i="11"/>
  <c r="B69" i="11"/>
  <c r="B70" i="11"/>
  <c r="B71" i="11"/>
  <c r="D73" i="11"/>
  <c r="E73" i="11"/>
  <c r="F73" i="11"/>
  <c r="G73" i="11"/>
  <c r="H73" i="11"/>
  <c r="I73" i="11"/>
  <c r="J73" i="11"/>
  <c r="K73" i="11"/>
  <c r="L73" i="11"/>
  <c r="B74" i="11"/>
  <c r="B75" i="11"/>
  <c r="B76" i="11"/>
  <c r="B77" i="11"/>
  <c r="B78" i="11"/>
  <c r="B79" i="11"/>
  <c r="B80" i="11"/>
  <c r="B81" i="11"/>
  <c r="B82" i="11"/>
  <c r="B83" i="11"/>
  <c r="F17" i="10"/>
  <c r="F26" i="10"/>
  <c r="F28" i="10"/>
  <c r="N8" i="55" l="1"/>
  <c r="R8" i="50"/>
  <c r="AB40" i="55"/>
  <c r="AB42" i="55" s="1"/>
  <c r="AB42" i="50"/>
  <c r="AD36" i="50"/>
  <c r="AA43" i="50"/>
  <c r="AC27" i="50"/>
  <c r="AD36" i="52"/>
  <c r="S13" i="56"/>
  <c r="AC36" i="62"/>
  <c r="U36" i="62"/>
  <c r="H36" i="62"/>
  <c r="N33" i="45"/>
  <c r="V33" i="45"/>
  <c r="V18" i="45"/>
  <c r="J18" i="45"/>
  <c r="AB36" i="51"/>
  <c r="AB27" i="51"/>
  <c r="AB43" i="51" s="1"/>
  <c r="AA13" i="51"/>
  <c r="AA22" i="51" s="1"/>
  <c r="AC36" i="52"/>
  <c r="AD13" i="54"/>
  <c r="AD25" i="55"/>
  <c r="W17" i="55"/>
  <c r="S17" i="55"/>
  <c r="K28" i="57"/>
  <c r="R36" i="62"/>
  <c r="E11" i="15"/>
  <c r="D11" i="15" s="1"/>
  <c r="L16" i="104"/>
  <c r="I24" i="43"/>
  <c r="H18" i="43"/>
  <c r="R33" i="45"/>
  <c r="AC13" i="50"/>
  <c r="Q8" i="54"/>
  <c r="Q8" i="52"/>
  <c r="M8" i="54"/>
  <c r="M8" i="52"/>
  <c r="I8" i="54"/>
  <c r="I8" i="52"/>
  <c r="AA36" i="51"/>
  <c r="F43" i="51"/>
  <c r="AA27" i="51"/>
  <c r="AD13" i="51"/>
  <c r="AD22" i="51" s="1"/>
  <c r="AD17" i="52"/>
  <c r="F22" i="52"/>
  <c r="AC13" i="52"/>
  <c r="AB29" i="55"/>
  <c r="AB32" i="55" s="1"/>
  <c r="AC25" i="55"/>
  <c r="AC27" i="55" s="1"/>
  <c r="AD18" i="55"/>
  <c r="AF34" i="62"/>
  <c r="O30" i="70"/>
  <c r="O26" i="70"/>
  <c r="O22" i="70"/>
  <c r="O18" i="70"/>
  <c r="O14" i="70"/>
  <c r="O10" i="70"/>
  <c r="M34" i="70"/>
  <c r="I19" i="77"/>
  <c r="O26" i="78"/>
  <c r="P21" i="81"/>
  <c r="P12" i="81" s="1"/>
  <c r="X21" i="81"/>
  <c r="U12" i="85"/>
  <c r="U25" i="80"/>
  <c r="U12" i="80" s="1"/>
  <c r="J12" i="85"/>
  <c r="J25" i="80"/>
  <c r="E24" i="43"/>
  <c r="D32" i="43"/>
  <c r="AD43" i="50"/>
  <c r="AE36" i="58"/>
  <c r="AF36" i="59"/>
  <c r="Y36" i="62"/>
  <c r="AE9" i="62"/>
  <c r="AE36" i="62" s="1"/>
  <c r="P36" i="62"/>
  <c r="L36" i="62"/>
  <c r="C43" i="73"/>
  <c r="I8" i="78"/>
  <c r="G42" i="78"/>
  <c r="P10" i="98"/>
  <c r="G10" i="93" s="1"/>
  <c r="C28" i="98"/>
  <c r="N29" i="45"/>
  <c r="F29" i="45" s="1"/>
  <c r="J29" i="45"/>
  <c r="R24" i="45"/>
  <c r="N24" i="45"/>
  <c r="V24" i="45"/>
  <c r="N13" i="45"/>
  <c r="J13" i="45"/>
  <c r="F23" i="104"/>
  <c r="E22" i="40"/>
  <c r="K26" i="44"/>
  <c r="J34" i="44"/>
  <c r="K34" i="44" s="1"/>
  <c r="V29" i="45"/>
  <c r="N18" i="45"/>
  <c r="F18" i="45" s="1"/>
  <c r="J8" i="54"/>
  <c r="J8" i="51"/>
  <c r="AA36" i="53"/>
  <c r="AC27" i="53"/>
  <c r="AC43" i="53" s="1"/>
  <c r="AC13" i="53"/>
  <c r="AC38" i="55"/>
  <c r="AB14" i="55"/>
  <c r="AB17" i="55" s="1"/>
  <c r="W36" i="62"/>
  <c r="AA36" i="62"/>
  <c r="AE33" i="62"/>
  <c r="J36" i="62"/>
  <c r="J33" i="45"/>
  <c r="F33" i="45" s="1"/>
  <c r="E15" i="45"/>
  <c r="E20" i="45" s="1"/>
  <c r="V13" i="45"/>
  <c r="AB43" i="50"/>
  <c r="R43" i="50"/>
  <c r="AD27" i="50"/>
  <c r="F44" i="52"/>
  <c r="AC27" i="52"/>
  <c r="AC43" i="52" s="1"/>
  <c r="V13" i="56"/>
  <c r="V22" i="56" s="1"/>
  <c r="T13" i="56"/>
  <c r="T22" i="56" s="1"/>
  <c r="N36" i="62"/>
  <c r="AF32" i="62"/>
  <c r="AD36" i="62"/>
  <c r="Z36" i="62"/>
  <c r="AF9" i="62"/>
  <c r="Q36" i="62"/>
  <c r="Q34" i="70"/>
  <c r="K25" i="73"/>
  <c r="E18" i="76"/>
  <c r="H19" i="77"/>
  <c r="T12" i="85"/>
  <c r="T25" i="80"/>
  <c r="N12" i="85"/>
  <c r="N25" i="80"/>
  <c r="I12" i="85"/>
  <c r="I25" i="80"/>
  <c r="E12" i="85"/>
  <c r="E25" i="80"/>
  <c r="K25" i="80" s="1"/>
  <c r="G13" i="43"/>
  <c r="F18" i="43"/>
  <c r="Q26" i="44"/>
  <c r="P34" i="44"/>
  <c r="Q34" i="44" s="1"/>
  <c r="N26" i="45"/>
  <c r="L12" i="45"/>
  <c r="T12" i="45"/>
  <c r="C15" i="45"/>
  <c r="V12" i="49"/>
  <c r="AB36" i="50"/>
  <c r="AC32" i="50"/>
  <c r="Z43" i="50"/>
  <c r="Z44" i="50" s="1"/>
  <c r="J43" i="50"/>
  <c r="AB13" i="50"/>
  <c r="AB22" i="50" s="1"/>
  <c r="AD36" i="51"/>
  <c r="AC32" i="51"/>
  <c r="AC20" i="51"/>
  <c r="AD17" i="51"/>
  <c r="F22" i="51"/>
  <c r="AC13" i="51"/>
  <c r="N43" i="52"/>
  <c r="N44" i="52" s="1"/>
  <c r="AA27" i="52"/>
  <c r="AA43" i="52" s="1"/>
  <c r="AA13" i="52"/>
  <c r="AA22" i="52" s="1"/>
  <c r="AD36" i="53"/>
  <c r="AB43" i="53"/>
  <c r="AB44" i="53" s="1"/>
  <c r="AB27" i="53"/>
  <c r="AD17" i="53"/>
  <c r="AB13" i="53"/>
  <c r="AB22" i="53" s="1"/>
  <c r="AA36" i="54"/>
  <c r="AC27" i="54"/>
  <c r="AC13" i="54"/>
  <c r="D42" i="55"/>
  <c r="T37" i="56"/>
  <c r="T43" i="56" s="1"/>
  <c r="T44" i="56" s="1"/>
  <c r="N28" i="57"/>
  <c r="G36" i="62"/>
  <c r="X36" i="62"/>
  <c r="T36" i="62"/>
  <c r="O36" i="62"/>
  <c r="K36" i="62"/>
  <c r="D29" i="67"/>
  <c r="L19" i="67" s="1"/>
  <c r="L32" i="67"/>
  <c r="O27" i="70"/>
  <c r="O23" i="70"/>
  <c r="O19" i="70"/>
  <c r="O15" i="70"/>
  <c r="O11" i="70"/>
  <c r="I15" i="76"/>
  <c r="K13" i="76"/>
  <c r="K18" i="76" s="1"/>
  <c r="P22" i="81"/>
  <c r="X22" i="81"/>
  <c r="A32" i="98"/>
  <c r="A3" i="93"/>
  <c r="D22" i="40"/>
  <c r="E13" i="43"/>
  <c r="W17" i="44"/>
  <c r="V32" i="45"/>
  <c r="N23" i="45"/>
  <c r="H14" i="45"/>
  <c r="P14" i="45"/>
  <c r="AC40" i="55"/>
  <c r="AC42" i="50"/>
  <c r="AA36" i="50"/>
  <c r="AA36" i="52"/>
  <c r="AD27" i="52"/>
  <c r="AD43" i="52" s="1"/>
  <c r="AD13" i="52"/>
  <c r="AC36" i="53"/>
  <c r="AA32" i="53"/>
  <c r="AA27" i="53"/>
  <c r="AA43" i="53" s="1"/>
  <c r="AC20" i="53"/>
  <c r="AC17" i="53"/>
  <c r="AA13" i="53"/>
  <c r="AA22" i="53" s="1"/>
  <c r="AD36" i="54"/>
  <c r="AB32" i="54"/>
  <c r="AB27" i="54"/>
  <c r="AD20" i="54"/>
  <c r="AD17" i="54"/>
  <c r="AD22" i="54" s="1"/>
  <c r="AB13" i="54"/>
  <c r="AB22" i="54" s="1"/>
  <c r="T42" i="55"/>
  <c r="I20" i="55"/>
  <c r="AB20" i="55"/>
  <c r="M17" i="55"/>
  <c r="S37" i="56"/>
  <c r="S43" i="56" s="1"/>
  <c r="M28" i="57"/>
  <c r="AC36" i="60"/>
  <c r="AC46" i="62"/>
  <c r="AD42" i="62"/>
  <c r="AB36" i="62"/>
  <c r="F36" i="62"/>
  <c r="B36" i="62"/>
  <c r="G29" i="67"/>
  <c r="O19" i="67" s="1"/>
  <c r="O32" i="67"/>
  <c r="C29" i="67"/>
  <c r="K19" i="67" s="1"/>
  <c r="K32" i="67"/>
  <c r="O28" i="70"/>
  <c r="O24" i="70"/>
  <c r="O20" i="70"/>
  <c r="O16" i="70"/>
  <c r="O12" i="70"/>
  <c r="U37" i="71"/>
  <c r="Q11" i="77"/>
  <c r="R11" i="77"/>
  <c r="H8" i="78"/>
  <c r="P22" i="95"/>
  <c r="D22" i="93" s="1"/>
  <c r="H22" i="93" s="1"/>
  <c r="AD19" i="55"/>
  <c r="AE47" i="62"/>
  <c r="AD23" i="62"/>
  <c r="H43" i="73"/>
  <c r="K25" i="12"/>
  <c r="H23" i="104"/>
  <c r="D23" i="104"/>
  <c r="L24" i="103"/>
  <c r="H24" i="103"/>
  <c r="J75" i="39"/>
  <c r="J71" i="39"/>
  <c r="J78" i="39" s="1"/>
  <c r="W33" i="44"/>
  <c r="W31" i="44"/>
  <c r="W28" i="44"/>
  <c r="W25" i="44"/>
  <c r="W23" i="44"/>
  <c r="W22" i="44"/>
  <c r="W16" i="44"/>
  <c r="W13" i="44"/>
  <c r="Z18" i="48"/>
  <c r="W12" i="49"/>
  <c r="AC41" i="55"/>
  <c r="AA40" i="55"/>
  <c r="AA42" i="55" s="1"/>
  <c r="AC36" i="50"/>
  <c r="V43" i="50"/>
  <c r="F43" i="50"/>
  <c r="AC17" i="50"/>
  <c r="AC36" i="51"/>
  <c r="AB32" i="51"/>
  <c r="AC27" i="51"/>
  <c r="AB22" i="51"/>
  <c r="AB44" i="51" s="1"/>
  <c r="AC17" i="51"/>
  <c r="AB13" i="51"/>
  <c r="AB36" i="52"/>
  <c r="R43" i="52"/>
  <c r="R44" i="52" s="1"/>
  <c r="AB27" i="52"/>
  <c r="AB43" i="52" s="1"/>
  <c r="AB44" i="52" s="1"/>
  <c r="AC17" i="52"/>
  <c r="AB13" i="52"/>
  <c r="AB22" i="52" s="1"/>
  <c r="AD42" i="53"/>
  <c r="AB36" i="53"/>
  <c r="AD32" i="53"/>
  <c r="AD13" i="53"/>
  <c r="AC36" i="54"/>
  <c r="AA32" i="54"/>
  <c r="AA27" i="54"/>
  <c r="AC20" i="54"/>
  <c r="AC17" i="54"/>
  <c r="AA13" i="54"/>
  <c r="AA22" i="54" s="1"/>
  <c r="H17" i="55"/>
  <c r="D17" i="55"/>
  <c r="AE31" i="62"/>
  <c r="J26" i="66"/>
  <c r="C18" i="76"/>
  <c r="K9" i="76"/>
  <c r="N59" i="78"/>
  <c r="N55" i="78" s="1"/>
  <c r="S25" i="80"/>
  <c r="M25" i="80"/>
  <c r="H25" i="80"/>
  <c r="D25" i="80"/>
  <c r="P27" i="95"/>
  <c r="D27" i="93" s="1"/>
  <c r="P25" i="96"/>
  <c r="E25" i="93" s="1"/>
  <c r="P23" i="96"/>
  <c r="E23" i="93" s="1"/>
  <c r="P21" i="96"/>
  <c r="E21" i="93" s="1"/>
  <c r="P19" i="96"/>
  <c r="E19" i="93" s="1"/>
  <c r="P17" i="96"/>
  <c r="E17" i="93" s="1"/>
  <c r="P15" i="96"/>
  <c r="E15" i="93" s="1"/>
  <c r="P11" i="96"/>
  <c r="P26" i="97"/>
  <c r="F26" i="93" s="1"/>
  <c r="P27" i="98"/>
  <c r="G27" i="93" s="1"/>
  <c r="D37" i="41"/>
  <c r="D45" i="41"/>
  <c r="R22" i="40"/>
  <c r="P22" i="40"/>
  <c r="J22" i="40"/>
  <c r="H22" i="40"/>
  <c r="T12" i="40"/>
  <c r="AD9" i="55"/>
  <c r="AD27" i="54"/>
  <c r="AD27" i="53"/>
  <c r="AD27" i="51"/>
  <c r="AD43" i="51" s="1"/>
  <c r="C36" i="55"/>
  <c r="AD22" i="53"/>
  <c r="Z42" i="55"/>
  <c r="N42" i="55"/>
  <c r="X42" i="55"/>
  <c r="P42" i="55"/>
  <c r="L42" i="55"/>
  <c r="W27" i="55"/>
  <c r="AB36" i="55"/>
  <c r="X36" i="55"/>
  <c r="T36" i="55"/>
  <c r="P36" i="55"/>
  <c r="L36" i="55"/>
  <c r="H36" i="55"/>
  <c r="D36" i="55"/>
  <c r="M32" i="55"/>
  <c r="I27" i="55"/>
  <c r="K17" i="55"/>
  <c r="AC13" i="55"/>
  <c r="AA13" i="55"/>
  <c r="Y13" i="55"/>
  <c r="W13" i="55"/>
  <c r="W22" i="55" s="1"/>
  <c r="U13" i="55"/>
  <c r="S13" i="55"/>
  <c r="Q13" i="55"/>
  <c r="O13" i="55"/>
  <c r="O22" i="55" s="1"/>
  <c r="M13" i="55"/>
  <c r="K13" i="55"/>
  <c r="I13" i="55"/>
  <c r="G13" i="55"/>
  <c r="E13" i="55"/>
  <c r="C13" i="55"/>
  <c r="AC36" i="55"/>
  <c r="AA36" i="55"/>
  <c r="Y36" i="55"/>
  <c r="W36" i="55"/>
  <c r="U36" i="55"/>
  <c r="S36" i="55"/>
  <c r="Q36" i="55"/>
  <c r="Q43" i="55" s="1"/>
  <c r="O36" i="55"/>
  <c r="M36" i="55"/>
  <c r="K36" i="55"/>
  <c r="I36" i="55"/>
  <c r="I43" i="55" s="1"/>
  <c r="G36" i="55"/>
  <c r="E36" i="55"/>
  <c r="W32" i="55"/>
  <c r="W43" i="55" s="1"/>
  <c r="W44" i="55" s="1"/>
  <c r="U32" i="55"/>
  <c r="G32" i="55"/>
  <c r="M22" i="55"/>
  <c r="I17" i="55"/>
  <c r="I22" i="55" s="1"/>
  <c r="I44" i="55" s="1"/>
  <c r="AB13" i="55"/>
  <c r="X13" i="55"/>
  <c r="T13" i="55"/>
  <c r="T22" i="55" s="1"/>
  <c r="P13" i="55"/>
  <c r="L13" i="55"/>
  <c r="H13" i="55"/>
  <c r="D13" i="55"/>
  <c r="N17" i="55"/>
  <c r="AD15" i="55"/>
  <c r="V42" i="55"/>
  <c r="Z36" i="55"/>
  <c r="N36" i="55"/>
  <c r="V36" i="55"/>
  <c r="R36" i="55"/>
  <c r="AD34" i="55"/>
  <c r="Z44" i="54"/>
  <c r="F44" i="53"/>
  <c r="N22" i="50"/>
  <c r="F22" i="50"/>
  <c r="F44" i="50" s="1"/>
  <c r="N13" i="55"/>
  <c r="Z13" i="55"/>
  <c r="V13" i="55"/>
  <c r="R13" i="55"/>
  <c r="R22" i="55" s="1"/>
  <c r="AD10" i="55"/>
  <c r="AD13" i="50"/>
  <c r="F13" i="55"/>
  <c r="Y23" i="81"/>
  <c r="W23" i="81"/>
  <c r="Y22" i="81"/>
  <c r="P15" i="82"/>
  <c r="V12" i="85"/>
  <c r="K25" i="85"/>
  <c r="K12" i="85" s="1"/>
  <c r="V13" i="80"/>
  <c r="M59" i="95"/>
  <c r="P26" i="95"/>
  <c r="D26" i="93" s="1"/>
  <c r="P15" i="95"/>
  <c r="D15" i="93" s="1"/>
  <c r="P10" i="95"/>
  <c r="D10" i="93" s="1"/>
  <c r="P25" i="95"/>
  <c r="D25" i="93" s="1"/>
  <c r="P21" i="95"/>
  <c r="D21" i="93" s="1"/>
  <c r="P19" i="95"/>
  <c r="D19" i="93" s="1"/>
  <c r="P18" i="95"/>
  <c r="D18" i="93" s="1"/>
  <c r="P16" i="95"/>
  <c r="D16" i="93" s="1"/>
  <c r="P14" i="95"/>
  <c r="P12" i="95"/>
  <c r="D12" i="93" s="1"/>
  <c r="P11" i="95"/>
  <c r="D11" i="93" s="1"/>
  <c r="P10" i="94"/>
  <c r="C10" i="93" s="1"/>
  <c r="P26" i="96"/>
  <c r="E26" i="93" s="1"/>
  <c r="C28" i="96"/>
  <c r="P14" i="96"/>
  <c r="E14" i="93" s="1"/>
  <c r="P13" i="96"/>
  <c r="E13" i="93" s="1"/>
  <c r="E32" i="43"/>
  <c r="G32" i="43"/>
  <c r="G24" i="43"/>
  <c r="H32" i="43"/>
  <c r="I18" i="43"/>
  <c r="C33" i="43"/>
  <c r="G18" i="43"/>
  <c r="F33" i="43"/>
  <c r="H38" i="43" s="1"/>
  <c r="D18" i="43"/>
  <c r="M34" i="44"/>
  <c r="N34" i="44" s="1"/>
  <c r="J20" i="44"/>
  <c r="K20" i="44" s="1"/>
  <c r="D20" i="44"/>
  <c r="E20" i="44" s="1"/>
  <c r="P20" i="44"/>
  <c r="Q20" i="44" s="1"/>
  <c r="M35" i="44"/>
  <c r="P27" i="97"/>
  <c r="F27" i="93" s="1"/>
  <c r="R22" i="56"/>
  <c r="F22" i="56"/>
  <c r="H26" i="66"/>
  <c r="W22" i="81"/>
  <c r="Y15" i="81"/>
  <c r="X19" i="81"/>
  <c r="W19" i="81"/>
  <c r="Y19" i="81"/>
  <c r="P22" i="82"/>
  <c r="P19" i="82"/>
  <c r="P18" i="82"/>
  <c r="Y15" i="82"/>
  <c r="W15" i="82"/>
  <c r="P14" i="82"/>
  <c r="P12" i="82" s="1"/>
  <c r="K12" i="83"/>
  <c r="O12" i="83"/>
  <c r="E18" i="89" s="1"/>
  <c r="V15" i="80"/>
  <c r="V14" i="80"/>
  <c r="Y22" i="82"/>
  <c r="W22" i="82"/>
  <c r="P16" i="82"/>
  <c r="V18" i="80"/>
  <c r="Y18" i="82"/>
  <c r="W18" i="82"/>
  <c r="V12" i="82"/>
  <c r="F18" i="88" s="1"/>
  <c r="F18" i="91"/>
  <c r="X12" i="84"/>
  <c r="P15" i="83"/>
  <c r="Y16" i="83"/>
  <c r="W16" i="83"/>
  <c r="P16" i="83"/>
  <c r="O12" i="82"/>
  <c r="P24" i="82"/>
  <c r="K12" i="82"/>
  <c r="Y20" i="81"/>
  <c r="W20" i="81"/>
  <c r="Y18" i="81"/>
  <c r="W18" i="81"/>
  <c r="V22" i="80"/>
  <c r="V12" i="81"/>
  <c r="F18" i="87" s="1"/>
  <c r="O21" i="80"/>
  <c r="Y21" i="81"/>
  <c r="W21" i="81"/>
  <c r="O12" i="81"/>
  <c r="E18" i="87" s="1"/>
  <c r="Y24" i="81"/>
  <c r="W24" i="81"/>
  <c r="M60" i="97"/>
  <c r="Z13" i="48"/>
  <c r="P15" i="98"/>
  <c r="G15" i="93" s="1"/>
  <c r="P14" i="98"/>
  <c r="K37" i="73"/>
  <c r="K19" i="73"/>
  <c r="I43" i="73"/>
  <c r="K31" i="73"/>
  <c r="G43" i="73"/>
  <c r="E43" i="73"/>
  <c r="K13" i="73"/>
  <c r="K50" i="73"/>
  <c r="O59" i="78"/>
  <c r="O55" i="78" s="1"/>
  <c r="I18" i="76"/>
  <c r="L13" i="104"/>
  <c r="M24" i="103"/>
  <c r="J24" i="103"/>
  <c r="F24" i="103"/>
  <c r="N11" i="103"/>
  <c r="D41" i="41"/>
  <c r="Z17" i="48"/>
  <c r="B37" i="12"/>
  <c r="C14" i="15" s="1"/>
  <c r="D14" i="15" s="1"/>
  <c r="E14" i="15"/>
  <c r="Z23" i="48"/>
  <c r="B81" i="12"/>
  <c r="L85" i="11"/>
  <c r="B79" i="12"/>
  <c r="F85" i="11"/>
  <c r="B73" i="11"/>
  <c r="H23" i="72"/>
  <c r="H22" i="72"/>
  <c r="B67" i="11"/>
  <c r="B61" i="11"/>
  <c r="C22" i="10" s="1"/>
  <c r="H21" i="72"/>
  <c r="H74" i="72" s="1"/>
  <c r="N20" i="22"/>
  <c r="K85" i="11"/>
  <c r="J85" i="11"/>
  <c r="H85" i="11"/>
  <c r="B56" i="11"/>
  <c r="M20" i="22" s="1"/>
  <c r="H19" i="72"/>
  <c r="H72" i="72" s="1"/>
  <c r="D85" i="11"/>
  <c r="B53" i="12"/>
  <c r="B47" i="12"/>
  <c r="B51" i="12"/>
  <c r="I85" i="11"/>
  <c r="G85" i="11"/>
  <c r="B43" i="11"/>
  <c r="L20" i="22" s="1"/>
  <c r="H18" i="72"/>
  <c r="H71" i="72" s="1"/>
  <c r="E85" i="11"/>
  <c r="B37" i="11"/>
  <c r="C19" i="10"/>
  <c r="K20" i="22"/>
  <c r="H15" i="72"/>
  <c r="H13" i="72"/>
  <c r="H67" i="72" s="1"/>
  <c r="B29" i="11"/>
  <c r="H12" i="72"/>
  <c r="H66" i="72" s="1"/>
  <c r="B25" i="11"/>
  <c r="I17" i="12"/>
  <c r="G17" i="12"/>
  <c r="E17" i="12"/>
  <c r="G34" i="11"/>
  <c r="K34" i="11"/>
  <c r="I34" i="11"/>
  <c r="I87" i="11" s="1"/>
  <c r="F34" i="11"/>
  <c r="F87" i="11" s="1"/>
  <c r="D34" i="11"/>
  <c r="D87" i="11" s="1"/>
  <c r="K17" i="12"/>
  <c r="L34" i="11"/>
  <c r="L87" i="11" s="1"/>
  <c r="K12" i="74" s="1"/>
  <c r="P12" i="74" s="1"/>
  <c r="J34" i="11"/>
  <c r="H34" i="11"/>
  <c r="H10" i="72"/>
  <c r="B17" i="11"/>
  <c r="E34" i="11"/>
  <c r="B9" i="11"/>
  <c r="F20" i="22" s="1"/>
  <c r="K41" i="73"/>
  <c r="K39" i="73"/>
  <c r="J43" i="73"/>
  <c r="K40" i="73"/>
  <c r="K42" i="73"/>
  <c r="K38" i="73"/>
  <c r="D43" i="73"/>
  <c r="N13" i="74"/>
  <c r="L13" i="74"/>
  <c r="M19" i="79"/>
  <c r="B19" i="79"/>
  <c r="L19" i="79" s="1"/>
  <c r="O43" i="78"/>
  <c r="O48" i="78"/>
  <c r="N48" i="78"/>
  <c r="O12" i="77"/>
  <c r="O11" i="77"/>
  <c r="O10" i="77"/>
  <c r="V24" i="80"/>
  <c r="V23" i="80"/>
  <c r="W21" i="80"/>
  <c r="X12" i="81"/>
  <c r="O16" i="80"/>
  <c r="W16" i="80" s="1"/>
  <c r="W15" i="81"/>
  <c r="Y12" i="81"/>
  <c r="W12" i="81"/>
  <c r="G18" i="87" s="1"/>
  <c r="K13" i="80"/>
  <c r="K21" i="80"/>
  <c r="P21" i="80" s="1"/>
  <c r="K16" i="80"/>
  <c r="P16" i="80" s="1"/>
  <c r="Y21" i="80"/>
  <c r="V20" i="80"/>
  <c r="V19" i="80"/>
  <c r="W12" i="82"/>
  <c r="G18" i="88" s="1"/>
  <c r="X12" i="82"/>
  <c r="O19" i="80"/>
  <c r="X19" i="80" s="1"/>
  <c r="Y24" i="82"/>
  <c r="W24" i="82"/>
  <c r="Y16" i="82"/>
  <c r="W16" i="82"/>
  <c r="Y14" i="82"/>
  <c r="W14" i="82"/>
  <c r="O23" i="80"/>
  <c r="K23" i="80"/>
  <c r="K19" i="80"/>
  <c r="X12" i="83"/>
  <c r="Y15" i="83"/>
  <c r="W15" i="83"/>
  <c r="Y12" i="83"/>
  <c r="W12" i="83"/>
  <c r="G18" i="89" s="1"/>
  <c r="D18" i="86"/>
  <c r="Y12" i="84"/>
  <c r="W12" i="84"/>
  <c r="G18" i="90" s="1"/>
  <c r="V25" i="85"/>
  <c r="O12" i="85"/>
  <c r="O25" i="85"/>
  <c r="P25" i="85"/>
  <c r="P12" i="85" s="1"/>
  <c r="P27" i="94"/>
  <c r="C27" i="93" s="1"/>
  <c r="P25" i="94"/>
  <c r="C25" i="93" s="1"/>
  <c r="H25" i="93" s="1"/>
  <c r="P23" i="94"/>
  <c r="C23" i="93" s="1"/>
  <c r="P22" i="94"/>
  <c r="C22" i="93" s="1"/>
  <c r="P21" i="94"/>
  <c r="C21" i="93" s="1"/>
  <c r="P20" i="94"/>
  <c r="C20" i="93" s="1"/>
  <c r="P19" i="94"/>
  <c r="C19" i="93" s="1"/>
  <c r="H19" i="93" s="1"/>
  <c r="P18" i="94"/>
  <c r="C18" i="93" s="1"/>
  <c r="P17" i="94"/>
  <c r="C17" i="93" s="1"/>
  <c r="P15" i="94"/>
  <c r="C15" i="93" s="1"/>
  <c r="P14" i="94"/>
  <c r="C14" i="93" s="1"/>
  <c r="P13" i="94"/>
  <c r="C13" i="93" s="1"/>
  <c r="P12" i="94"/>
  <c r="C12" i="93" s="1"/>
  <c r="P11" i="94"/>
  <c r="C11" i="93" s="1"/>
  <c r="M42" i="92"/>
  <c r="M60" i="92" s="1"/>
  <c r="P27" i="96"/>
  <c r="E27" i="93" s="1"/>
  <c r="P22" i="97"/>
  <c r="F22" i="93" s="1"/>
  <c r="P21" i="97"/>
  <c r="F21" i="93" s="1"/>
  <c r="P20" i="97"/>
  <c r="F20" i="93" s="1"/>
  <c r="P19" i="97"/>
  <c r="F19" i="93" s="1"/>
  <c r="P18" i="97"/>
  <c r="F18" i="93" s="1"/>
  <c r="P17" i="97"/>
  <c r="F17" i="93" s="1"/>
  <c r="P16" i="97"/>
  <c r="F16" i="93" s="1"/>
  <c r="P15" i="97"/>
  <c r="F15" i="93" s="1"/>
  <c r="P14" i="97"/>
  <c r="F14" i="93" s="1"/>
  <c r="P13" i="97"/>
  <c r="F13" i="93" s="1"/>
  <c r="AF36" i="61"/>
  <c r="I36" i="62"/>
  <c r="E36" i="62"/>
  <c r="AF47" i="62"/>
  <c r="AF31" i="62"/>
  <c r="AF36" i="62" s="1"/>
  <c r="AF36" i="58"/>
  <c r="AC36" i="61"/>
  <c r="AD36" i="61"/>
  <c r="AD36" i="60"/>
  <c r="AD36" i="59"/>
  <c r="AI18" i="57"/>
  <c r="AH10" i="57"/>
  <c r="AH14" i="57" s="1"/>
  <c r="AH28" i="57" s="1"/>
  <c r="AI21" i="57"/>
  <c r="AJ21" i="57"/>
  <c r="AH21" i="57"/>
  <c r="AI10" i="57"/>
  <c r="AJ10" i="57"/>
  <c r="AJ18" i="57"/>
  <c r="AJ27" i="57" s="1"/>
  <c r="AH18" i="57"/>
  <c r="AH27" i="57" s="1"/>
  <c r="AI14" i="57"/>
  <c r="AJ14" i="57"/>
  <c r="R43" i="56"/>
  <c r="V42" i="56"/>
  <c r="V43" i="56" s="1"/>
  <c r="V44" i="56" s="1"/>
  <c r="J22" i="56"/>
  <c r="U42" i="56"/>
  <c r="U43" i="56" s="1"/>
  <c r="U22" i="56"/>
  <c r="S22" i="56"/>
  <c r="R42" i="55"/>
  <c r="Z32" i="55"/>
  <c r="V32" i="55"/>
  <c r="R17" i="55"/>
  <c r="Z44" i="53"/>
  <c r="Q27" i="55"/>
  <c r="P17" i="55"/>
  <c r="Y22" i="55"/>
  <c r="S27" i="55"/>
  <c r="S22" i="55"/>
  <c r="G17" i="55"/>
  <c r="G27" i="55"/>
  <c r="G43" i="55" s="1"/>
  <c r="L27" i="55"/>
  <c r="E17" i="55"/>
  <c r="E32" i="55"/>
  <c r="C32" i="55"/>
  <c r="Y32" i="55"/>
  <c r="Y27" i="55"/>
  <c r="U22" i="55"/>
  <c r="S32" i="55"/>
  <c r="U27" i="55"/>
  <c r="P32" i="55"/>
  <c r="O27" i="55"/>
  <c r="I32" i="55"/>
  <c r="C17" i="55"/>
  <c r="C22" i="55" s="1"/>
  <c r="E42" i="55"/>
  <c r="D32" i="55"/>
  <c r="E27" i="55"/>
  <c r="Z27" i="55"/>
  <c r="Z22" i="55"/>
  <c r="V27" i="55"/>
  <c r="R27" i="55"/>
  <c r="V22" i="55"/>
  <c r="R22" i="50"/>
  <c r="J22" i="50"/>
  <c r="F27" i="55"/>
  <c r="AD22" i="50"/>
  <c r="Y42" i="55"/>
  <c r="W42" i="55"/>
  <c r="X27" i="55"/>
  <c r="X32" i="55"/>
  <c r="X22" i="55"/>
  <c r="U42" i="55"/>
  <c r="S42" i="55"/>
  <c r="T32" i="55"/>
  <c r="T27" i="55"/>
  <c r="T43" i="55" s="1"/>
  <c r="Q22" i="55"/>
  <c r="AA22" i="50"/>
  <c r="AA44" i="50" s="1"/>
  <c r="Q42" i="55"/>
  <c r="O42" i="55"/>
  <c r="Q32" i="55"/>
  <c r="O32" i="55"/>
  <c r="P27" i="55"/>
  <c r="P43" i="55" s="1"/>
  <c r="AC32" i="55"/>
  <c r="M42" i="55"/>
  <c r="K42" i="55"/>
  <c r="L32" i="55"/>
  <c r="L43" i="55" s="1"/>
  <c r="L44" i="55" s="1"/>
  <c r="M27" i="55"/>
  <c r="M43" i="55" s="1"/>
  <c r="K27" i="55"/>
  <c r="AB22" i="55"/>
  <c r="L17" i="55"/>
  <c r="L22" i="55" s="1"/>
  <c r="I42" i="55"/>
  <c r="G42" i="55"/>
  <c r="AA32" i="55"/>
  <c r="H32" i="55"/>
  <c r="H43" i="55" s="1"/>
  <c r="H44" i="55" s="1"/>
  <c r="AA27" i="55"/>
  <c r="H27" i="55"/>
  <c r="AC17" i="55"/>
  <c r="AC22" i="55" s="1"/>
  <c r="AA17" i="55"/>
  <c r="AA22" i="55" s="1"/>
  <c r="H22" i="55"/>
  <c r="N8" i="51"/>
  <c r="R8" i="52"/>
  <c r="J8" i="52"/>
  <c r="J8" i="53"/>
  <c r="N8" i="54"/>
  <c r="R8" i="55"/>
  <c r="J8" i="55"/>
  <c r="N8" i="52"/>
  <c r="N8" i="53"/>
  <c r="AC42" i="55"/>
  <c r="AB8" i="51"/>
  <c r="X8" i="51"/>
  <c r="T8" i="51"/>
  <c r="P8" i="51"/>
  <c r="L8" i="51"/>
  <c r="H8" i="51"/>
  <c r="AC8" i="52"/>
  <c r="AA8" i="52"/>
  <c r="Y8" i="52"/>
  <c r="W8" i="52"/>
  <c r="U8" i="52"/>
  <c r="S8" i="52"/>
  <c r="AC8" i="53"/>
  <c r="AA8" i="53"/>
  <c r="Y8" i="53"/>
  <c r="W8" i="53"/>
  <c r="U8" i="53"/>
  <c r="S8" i="53"/>
  <c r="Q8" i="53"/>
  <c r="O8" i="53"/>
  <c r="M8" i="53"/>
  <c r="K8" i="53"/>
  <c r="I8" i="53"/>
  <c r="G8" i="53"/>
  <c r="AB8" i="54"/>
  <c r="X8" i="54"/>
  <c r="T8" i="54"/>
  <c r="P8" i="54"/>
  <c r="L8" i="54"/>
  <c r="H8" i="54"/>
  <c r="E43" i="55"/>
  <c r="C43" i="55"/>
  <c r="C44" i="55" s="1"/>
  <c r="AB27" i="55"/>
  <c r="D27" i="55"/>
  <c r="D43" i="55" s="1"/>
  <c r="AC8" i="55"/>
  <c r="AA8" i="55"/>
  <c r="Y8" i="55"/>
  <c r="I7" i="56" s="1"/>
  <c r="W8" i="55"/>
  <c r="G7" i="56" s="1"/>
  <c r="O7" i="56" s="1"/>
  <c r="S7" i="57" s="1"/>
  <c r="U8" i="55"/>
  <c r="E7" i="56" s="1"/>
  <c r="E7" i="57" s="1"/>
  <c r="S8" i="55"/>
  <c r="C7" i="56" s="1"/>
  <c r="Q8" i="55"/>
  <c r="O8" i="55"/>
  <c r="M8" i="55"/>
  <c r="K8" i="55"/>
  <c r="I8" i="55"/>
  <c r="G8" i="55"/>
  <c r="AC8" i="51"/>
  <c r="AA8" i="51"/>
  <c r="Y8" i="51"/>
  <c r="W8" i="51"/>
  <c r="U8" i="51"/>
  <c r="S8" i="51"/>
  <c r="Q8" i="51"/>
  <c r="O8" i="51"/>
  <c r="M8" i="51"/>
  <c r="K8" i="51"/>
  <c r="I8" i="51"/>
  <c r="G8" i="51"/>
  <c r="AB8" i="52"/>
  <c r="X8" i="52"/>
  <c r="T8" i="52"/>
  <c r="P8" i="52"/>
  <c r="L8" i="52"/>
  <c r="H8" i="52"/>
  <c r="AB8" i="53"/>
  <c r="X8" i="53"/>
  <c r="T8" i="53"/>
  <c r="P8" i="53"/>
  <c r="L8" i="53"/>
  <c r="H8" i="53"/>
  <c r="D22" i="55"/>
  <c r="V20" i="45"/>
  <c r="N20" i="45"/>
  <c r="J15" i="45"/>
  <c r="F14" i="45"/>
  <c r="F12" i="45"/>
  <c r="F13" i="45"/>
  <c r="F16" i="45"/>
  <c r="F19" i="45"/>
  <c r="F17" i="45"/>
  <c r="F25" i="45"/>
  <c r="F23" i="45"/>
  <c r="F22" i="45"/>
  <c r="F32" i="45"/>
  <c r="F30" i="45"/>
  <c r="F28" i="45"/>
  <c r="F31" i="45"/>
  <c r="F27" i="45"/>
  <c r="V15" i="45"/>
  <c r="R15" i="45"/>
  <c r="N15" i="45"/>
  <c r="R26" i="45"/>
  <c r="J26" i="45"/>
  <c r="T24" i="45"/>
  <c r="P24" i="45"/>
  <c r="L24" i="45"/>
  <c r="T22" i="45"/>
  <c r="P22" i="45"/>
  <c r="D22" i="45" s="1"/>
  <c r="L22" i="45"/>
  <c r="T33" i="45"/>
  <c r="P33" i="45"/>
  <c r="L33" i="45"/>
  <c r="D33" i="45" s="1"/>
  <c r="T31" i="45"/>
  <c r="P31" i="45"/>
  <c r="L31" i="45"/>
  <c r="T29" i="45"/>
  <c r="D29" i="45" s="1"/>
  <c r="P29" i="45"/>
  <c r="L29" i="45"/>
  <c r="T27" i="45"/>
  <c r="P27" i="45"/>
  <c r="L27" i="45"/>
  <c r="E35" i="45"/>
  <c r="R20" i="45"/>
  <c r="J20" i="45"/>
  <c r="T18" i="45"/>
  <c r="P18" i="45"/>
  <c r="L18" i="45"/>
  <c r="T16" i="45"/>
  <c r="P16" i="45"/>
  <c r="L16" i="45"/>
  <c r="U34" i="45"/>
  <c r="Q34" i="45"/>
  <c r="M34" i="45"/>
  <c r="I34" i="45"/>
  <c r="T32" i="45"/>
  <c r="P32" i="45"/>
  <c r="L32" i="45"/>
  <c r="T30" i="45"/>
  <c r="P30" i="45"/>
  <c r="L30" i="45"/>
  <c r="D30" i="45" s="1"/>
  <c r="T28" i="45"/>
  <c r="P28" i="45"/>
  <c r="L28" i="45"/>
  <c r="C26" i="45"/>
  <c r="T26" i="45" s="1"/>
  <c r="T25" i="45"/>
  <c r="P25" i="45"/>
  <c r="L25" i="45"/>
  <c r="T23" i="45"/>
  <c r="P23" i="45"/>
  <c r="L23" i="45"/>
  <c r="C20" i="45"/>
  <c r="T20" i="45" s="1"/>
  <c r="T19" i="45"/>
  <c r="P19" i="45"/>
  <c r="L19" i="45"/>
  <c r="T17" i="45"/>
  <c r="P17" i="45"/>
  <c r="L17" i="45"/>
  <c r="T13" i="45"/>
  <c r="P13" i="45"/>
  <c r="L13" i="45"/>
  <c r="D31" i="45"/>
  <c r="D18" i="45"/>
  <c r="D14" i="45"/>
  <c r="D12" i="45"/>
  <c r="S34" i="44"/>
  <c r="V26" i="44"/>
  <c r="V34" i="44" s="1"/>
  <c r="D34" i="44"/>
  <c r="G35" i="44"/>
  <c r="H35" i="44" s="1"/>
  <c r="N35" i="44"/>
  <c r="V15" i="44"/>
  <c r="V20" i="44" s="1"/>
  <c r="U26" i="44"/>
  <c r="U20" i="44"/>
  <c r="W20" i="44" s="1"/>
  <c r="C22" i="40"/>
  <c r="T20" i="40"/>
  <c r="L22" i="40"/>
  <c r="T13" i="40"/>
  <c r="P20" i="39"/>
  <c r="G77" i="39" s="1"/>
  <c r="P19" i="39"/>
  <c r="G76" i="39" s="1"/>
  <c r="P18" i="39"/>
  <c r="G75" i="39" s="1"/>
  <c r="P17" i="39"/>
  <c r="G74" i="39" s="1"/>
  <c r="P15" i="39"/>
  <c r="G71" i="39" s="1"/>
  <c r="P14" i="39"/>
  <c r="G73" i="39" s="1"/>
  <c r="P13" i="39"/>
  <c r="G70" i="39" s="1"/>
  <c r="P12" i="39"/>
  <c r="G69" i="39" s="1"/>
  <c r="P11" i="39"/>
  <c r="G68" i="39" s="1"/>
  <c r="N19" i="103"/>
  <c r="N24" i="103" s="1"/>
  <c r="K24" i="103"/>
  <c r="I24" i="103"/>
  <c r="G24" i="103"/>
  <c r="E24" i="103"/>
  <c r="C24" i="103"/>
  <c r="L23" i="104"/>
  <c r="G22" i="40"/>
  <c r="P16" i="39"/>
  <c r="G72" i="39" s="1"/>
  <c r="T10" i="40"/>
  <c r="M22" i="40"/>
  <c r="K22" i="40"/>
  <c r="R20" i="38"/>
  <c r="P9" i="39"/>
  <c r="T18" i="40"/>
  <c r="T11" i="40"/>
  <c r="O22" i="40"/>
  <c r="T17" i="40"/>
  <c r="S22" i="40"/>
  <c r="T15" i="40"/>
  <c r="T21" i="40"/>
  <c r="T14" i="40"/>
  <c r="T16" i="40"/>
  <c r="N22" i="40"/>
  <c r="T55" i="40"/>
  <c r="O43" i="55"/>
  <c r="Q44" i="55"/>
  <c r="Y23" i="80"/>
  <c r="W19" i="80"/>
  <c r="B77" i="12"/>
  <c r="H73" i="12"/>
  <c r="F73" i="12"/>
  <c r="E19" i="15" s="1"/>
  <c r="B70" i="12"/>
  <c r="F67" i="12"/>
  <c r="B65" i="12"/>
  <c r="J61" i="12"/>
  <c r="D61" i="12"/>
  <c r="H56" i="12"/>
  <c r="F56" i="12"/>
  <c r="H43" i="12"/>
  <c r="E15" i="15" s="1"/>
  <c r="B45" i="12"/>
  <c r="B43" i="12" s="1"/>
  <c r="C15" i="15" s="1"/>
  <c r="J29" i="12"/>
  <c r="H29" i="12"/>
  <c r="F29" i="12"/>
  <c r="D29" i="12"/>
  <c r="B23" i="12"/>
  <c r="J17" i="12"/>
  <c r="H17" i="12"/>
  <c r="F17" i="12"/>
  <c r="D17" i="12"/>
  <c r="B14" i="12"/>
  <c r="B12" i="12"/>
  <c r="K9" i="12"/>
  <c r="I9" i="12"/>
  <c r="G9" i="12"/>
  <c r="E9" i="12"/>
  <c r="K24" i="80"/>
  <c r="O22" i="80"/>
  <c r="W22" i="80" s="1"/>
  <c r="K20" i="80"/>
  <c r="O18" i="80"/>
  <c r="W18" i="80" s="1"/>
  <c r="K15" i="80"/>
  <c r="P15" i="80" s="1"/>
  <c r="O14" i="80"/>
  <c r="W14" i="80" s="1"/>
  <c r="S12" i="80"/>
  <c r="Q12" i="80"/>
  <c r="M12" i="80"/>
  <c r="I12" i="80"/>
  <c r="G12" i="80"/>
  <c r="E12" i="80"/>
  <c r="C12" i="80"/>
  <c r="B83" i="12"/>
  <c r="J73" i="12"/>
  <c r="D73" i="12"/>
  <c r="J67" i="12"/>
  <c r="H67" i="12"/>
  <c r="D67" i="12"/>
  <c r="H61" i="12"/>
  <c r="F61" i="12"/>
  <c r="J56" i="12"/>
  <c r="D56" i="12"/>
  <c r="B49" i="12"/>
  <c r="J43" i="12"/>
  <c r="F43" i="12"/>
  <c r="B82" i="12"/>
  <c r="B80" i="12"/>
  <c r="B78" i="12"/>
  <c r="B76" i="12"/>
  <c r="K73" i="12"/>
  <c r="I73" i="12"/>
  <c r="G73" i="12"/>
  <c r="B74" i="12"/>
  <c r="B71" i="12"/>
  <c r="K67" i="12"/>
  <c r="I67" i="12"/>
  <c r="G67" i="12"/>
  <c r="E67" i="12"/>
  <c r="B64" i="12"/>
  <c r="K61" i="12"/>
  <c r="I61" i="12"/>
  <c r="G61" i="12"/>
  <c r="B62" i="12"/>
  <c r="B59" i="12"/>
  <c r="K56" i="12"/>
  <c r="I56" i="12"/>
  <c r="G56" i="12"/>
  <c r="B57" i="12"/>
  <c r="B54" i="12"/>
  <c r="B52" i="12"/>
  <c r="B50" i="12"/>
  <c r="B48" i="12"/>
  <c r="B46" i="12"/>
  <c r="K43" i="12"/>
  <c r="I43" i="12"/>
  <c r="G43" i="12"/>
  <c r="B44" i="12"/>
  <c r="K37" i="12"/>
  <c r="B32" i="12"/>
  <c r="K29" i="12"/>
  <c r="I29" i="12"/>
  <c r="G29" i="12"/>
  <c r="B30" i="12"/>
  <c r="B22" i="12"/>
  <c r="B15" i="12"/>
  <c r="B13" i="12"/>
  <c r="J9" i="12"/>
  <c r="J34" i="12" s="1"/>
  <c r="H9" i="12"/>
  <c r="F9" i="12"/>
  <c r="B11" i="12"/>
  <c r="J20" i="21"/>
  <c r="I12" i="21"/>
  <c r="F11" i="15"/>
  <c r="I21" i="15" s="1"/>
  <c r="D43" i="41"/>
  <c r="D39" i="41"/>
  <c r="D35" i="41"/>
  <c r="R32" i="55"/>
  <c r="N32" i="55"/>
  <c r="F13" i="74"/>
  <c r="U18" i="77"/>
  <c r="U17" i="77"/>
  <c r="U16" i="77"/>
  <c r="U15" i="77"/>
  <c r="U14" i="77"/>
  <c r="U13" i="77"/>
  <c r="U12" i="77"/>
  <c r="U11" i="77"/>
  <c r="U10" i="77"/>
  <c r="V25" i="80"/>
  <c r="O24" i="80"/>
  <c r="K22" i="80"/>
  <c r="V21" i="80"/>
  <c r="O20" i="80"/>
  <c r="W20" i="80" s="1"/>
  <c r="K18" i="80"/>
  <c r="V16" i="80"/>
  <c r="O15" i="80"/>
  <c r="W15" i="80" s="1"/>
  <c r="K14" i="80"/>
  <c r="P14" i="80" s="1"/>
  <c r="T12" i="80"/>
  <c r="R12" i="80"/>
  <c r="L12" i="80"/>
  <c r="J12" i="80"/>
  <c r="K12" i="80" s="1"/>
  <c r="H12" i="80"/>
  <c r="F12" i="80"/>
  <c r="D12" i="80"/>
  <c r="C60" i="92"/>
  <c r="F15" i="36"/>
  <c r="G15" i="36" s="1"/>
  <c r="R13" i="36"/>
  <c r="S13" i="36" s="1"/>
  <c r="F13" i="36"/>
  <c r="G13" i="36" s="1"/>
  <c r="R11" i="36"/>
  <c r="S11" i="36" s="1"/>
  <c r="F11" i="36"/>
  <c r="G11" i="36" s="1"/>
  <c r="R20" i="36"/>
  <c r="F20" i="36"/>
  <c r="R19" i="36"/>
  <c r="F19" i="36"/>
  <c r="G19" i="36" s="1"/>
  <c r="R17" i="36"/>
  <c r="S17" i="36" s="1"/>
  <c r="F17" i="36"/>
  <c r="G17" i="36" s="1"/>
  <c r="R15" i="36"/>
  <c r="S15" i="36" s="1"/>
  <c r="P26" i="94"/>
  <c r="C26" i="93" s="1"/>
  <c r="P24" i="94"/>
  <c r="C24" i="93" s="1"/>
  <c r="M57" i="98"/>
  <c r="H28" i="98"/>
  <c r="P28" i="98"/>
  <c r="G14" i="93"/>
  <c r="G28" i="93" s="1"/>
  <c r="H28" i="97"/>
  <c r="P28" i="97"/>
  <c r="F10" i="93"/>
  <c r="F10" i="68"/>
  <c r="P20" i="95"/>
  <c r="D20" i="93" s="1"/>
  <c r="P23" i="95"/>
  <c r="D23" i="93" s="1"/>
  <c r="P13" i="95"/>
  <c r="D13" i="93" s="1"/>
  <c r="P24" i="95"/>
  <c r="D24" i="93" s="1"/>
  <c r="F21" i="68"/>
  <c r="F20" i="68"/>
  <c r="F22" i="68"/>
  <c r="F15" i="68"/>
  <c r="Y19" i="48"/>
  <c r="X19" i="48"/>
  <c r="Z19" i="48" s="1"/>
  <c r="D60" i="92"/>
  <c r="M60" i="96"/>
  <c r="H28" i="96"/>
  <c r="E10" i="93"/>
  <c r="H27" i="93"/>
  <c r="H21" i="93"/>
  <c r="H20" i="93"/>
  <c r="C28" i="95"/>
  <c r="H12" i="93"/>
  <c r="H28" i="95"/>
  <c r="H27" i="92"/>
  <c r="C27" i="92"/>
  <c r="H26" i="92"/>
  <c r="C26" i="92"/>
  <c r="H25" i="92"/>
  <c r="C25" i="92"/>
  <c r="H24" i="92"/>
  <c r="C24" i="92"/>
  <c r="H23" i="92"/>
  <c r="C23" i="92"/>
  <c r="H22" i="92"/>
  <c r="C22" i="92"/>
  <c r="H21" i="92"/>
  <c r="C21" i="92"/>
  <c r="H20" i="92"/>
  <c r="P20" i="92" s="1"/>
  <c r="C20" i="92"/>
  <c r="D28" i="92"/>
  <c r="H19" i="92"/>
  <c r="C19" i="92"/>
  <c r="H18" i="92"/>
  <c r="N28" i="92"/>
  <c r="F28" i="92"/>
  <c r="C18" i="92"/>
  <c r="K60" i="92"/>
  <c r="H17" i="92"/>
  <c r="C17" i="92"/>
  <c r="J60" i="92"/>
  <c r="L60" i="92"/>
  <c r="H60" i="92"/>
  <c r="F60" i="92"/>
  <c r="P16" i="94"/>
  <c r="C16" i="93" s="1"/>
  <c r="J28" i="92"/>
  <c r="H16" i="92"/>
  <c r="C16" i="92"/>
  <c r="I60" i="92"/>
  <c r="H15" i="92"/>
  <c r="G28" i="92"/>
  <c r="C15" i="92"/>
  <c r="P15" i="92" s="1"/>
  <c r="O28" i="92"/>
  <c r="K28" i="92"/>
  <c r="L28" i="92"/>
  <c r="H14" i="92"/>
  <c r="M28" i="92"/>
  <c r="E28" i="92"/>
  <c r="C14" i="92"/>
  <c r="G60" i="92"/>
  <c r="H13" i="92"/>
  <c r="C13" i="92"/>
  <c r="E60" i="92"/>
  <c r="M59" i="94"/>
  <c r="H12" i="92"/>
  <c r="C28" i="94"/>
  <c r="C12" i="92"/>
  <c r="P12" i="92" s="1"/>
  <c r="H28" i="94"/>
  <c r="H11" i="92"/>
  <c r="I28" i="92"/>
  <c r="C11" i="92"/>
  <c r="P11" i="92" s="1"/>
  <c r="H10" i="92"/>
  <c r="C10" i="92"/>
  <c r="H20" i="38"/>
  <c r="F20" i="38"/>
  <c r="C21" i="39"/>
  <c r="N51" i="39"/>
  <c r="P10" i="39"/>
  <c r="G67" i="39" s="1"/>
  <c r="H21" i="39"/>
  <c r="G66" i="39"/>
  <c r="J13" i="64"/>
  <c r="J5" i="64"/>
  <c r="Y13" i="48"/>
  <c r="AA13" i="48" s="1"/>
  <c r="E16" i="48"/>
  <c r="E20" i="48" s="1"/>
  <c r="N43" i="56"/>
  <c r="N44" i="56" s="1"/>
  <c r="F43" i="56"/>
  <c r="F44" i="56" s="1"/>
  <c r="J43" i="56"/>
  <c r="R44" i="56"/>
  <c r="Z44" i="51"/>
  <c r="AD42" i="50"/>
  <c r="AD41" i="55"/>
  <c r="F42" i="55"/>
  <c r="V16" i="48"/>
  <c r="V20" i="48" s="1"/>
  <c r="V24" i="48" s="1"/>
  <c r="AD40" i="55"/>
  <c r="AD38" i="55"/>
  <c r="N16" i="48"/>
  <c r="N20" i="48" s="1"/>
  <c r="N24" i="48" s="1"/>
  <c r="F18" i="57"/>
  <c r="F36" i="55"/>
  <c r="F50" i="46"/>
  <c r="Z18" i="57"/>
  <c r="Z27" i="57" s="1"/>
  <c r="V44" i="51"/>
  <c r="R44" i="53"/>
  <c r="AD33" i="55"/>
  <c r="AD36" i="55" s="1"/>
  <c r="N44" i="53"/>
  <c r="AD29" i="55"/>
  <c r="V44" i="53"/>
  <c r="V44" i="50"/>
  <c r="R44" i="54"/>
  <c r="R44" i="51"/>
  <c r="R44" i="50"/>
  <c r="N44" i="54"/>
  <c r="N44" i="50"/>
  <c r="J44" i="53"/>
  <c r="J44" i="51"/>
  <c r="J44" i="50"/>
  <c r="F44" i="54"/>
  <c r="AD28" i="55"/>
  <c r="F44" i="51"/>
  <c r="F32" i="55"/>
  <c r="N27" i="55"/>
  <c r="I16" i="48"/>
  <c r="I20" i="48" s="1"/>
  <c r="K12" i="48"/>
  <c r="AA12" i="48" s="1"/>
  <c r="R18" i="57"/>
  <c r="F20" i="46"/>
  <c r="K17" i="48"/>
  <c r="AA17" i="48" s="1"/>
  <c r="R16" i="48"/>
  <c r="R20" i="48" s="1"/>
  <c r="R24" i="48" s="1"/>
  <c r="J20" i="46"/>
  <c r="Z65" i="63"/>
  <c r="E16" i="102" s="1"/>
  <c r="G16" i="102" s="1"/>
  <c r="AD24" i="55"/>
  <c r="K32" i="46"/>
  <c r="X16" i="48"/>
  <c r="X20" i="48" s="1"/>
  <c r="X24" i="48" s="1"/>
  <c r="T16" i="48"/>
  <c r="T20" i="48" s="1"/>
  <c r="T24" i="48" s="1"/>
  <c r="P16" i="48"/>
  <c r="P20" i="48" s="1"/>
  <c r="P24" i="48" s="1"/>
  <c r="L16" i="48"/>
  <c r="L20" i="48" s="1"/>
  <c r="L24" i="48" s="1"/>
  <c r="G16" i="48"/>
  <c r="G20" i="48" s="1"/>
  <c r="C16" i="48"/>
  <c r="C20" i="48" s="1"/>
  <c r="R10" i="57"/>
  <c r="R14" i="57" s="1"/>
  <c r="J23" i="64"/>
  <c r="J19" i="64"/>
  <c r="J17" i="64"/>
  <c r="C91" i="65"/>
  <c r="C89" i="65"/>
  <c r="C87" i="65"/>
  <c r="C85" i="65"/>
  <c r="C83" i="65"/>
  <c r="C81" i="65"/>
  <c r="C79" i="65"/>
  <c r="C77" i="65"/>
  <c r="C75" i="65"/>
  <c r="L16" i="46"/>
  <c r="H20" i="46"/>
  <c r="D20" i="46"/>
  <c r="J65" i="63"/>
  <c r="E9" i="102" s="1"/>
  <c r="J44" i="54"/>
  <c r="V18" i="57"/>
  <c r="J18" i="57"/>
  <c r="J12" i="48"/>
  <c r="Z12" i="48" s="1"/>
  <c r="K40" i="46"/>
  <c r="K36" i="46"/>
  <c r="K16" i="46"/>
  <c r="I20" i="46"/>
  <c r="G20" i="46"/>
  <c r="E20" i="46"/>
  <c r="C20" i="46"/>
  <c r="Z15" i="48"/>
  <c r="Y16" i="48"/>
  <c r="Y20" i="48" s="1"/>
  <c r="W16" i="48"/>
  <c r="W20" i="48" s="1"/>
  <c r="U16" i="48"/>
  <c r="U20" i="48" s="1"/>
  <c r="S16" i="48"/>
  <c r="S20" i="48" s="1"/>
  <c r="Q16" i="48"/>
  <c r="Q20" i="48" s="1"/>
  <c r="O16" i="48"/>
  <c r="O20" i="48" s="1"/>
  <c r="M16" i="48"/>
  <c r="M20" i="48" s="1"/>
  <c r="Z11" i="48"/>
  <c r="H16" i="48"/>
  <c r="H20" i="48" s="1"/>
  <c r="H24" i="48" s="1"/>
  <c r="F16" i="48"/>
  <c r="F20" i="48" s="1"/>
  <c r="F24" i="48" s="1"/>
  <c r="D16" i="48"/>
  <c r="D20" i="48" s="1"/>
  <c r="D24" i="48" s="1"/>
  <c r="B16" i="48"/>
  <c r="B20" i="48" s="1"/>
  <c r="B24" i="48" s="1"/>
  <c r="R21" i="57"/>
  <c r="R27" i="57" s="1"/>
  <c r="F21" i="57"/>
  <c r="R65" i="63"/>
  <c r="E11" i="102" s="1"/>
  <c r="G11" i="102" s="1"/>
  <c r="J49" i="64"/>
  <c r="J46" i="64"/>
  <c r="D45" i="64"/>
  <c r="J8" i="64"/>
  <c r="J7" i="64"/>
  <c r="D5" i="64"/>
  <c r="I5" i="64" s="1"/>
  <c r="C73" i="65"/>
  <c r="C71" i="65"/>
  <c r="C69" i="65"/>
  <c r="C67" i="65"/>
  <c r="C65" i="65"/>
  <c r="C63" i="65"/>
  <c r="C61" i="65"/>
  <c r="C59" i="65"/>
  <c r="C55" i="65"/>
  <c r="C53" i="65"/>
  <c r="C51" i="65"/>
  <c r="C49" i="65"/>
  <c r="C47" i="65"/>
  <c r="C45" i="65"/>
  <c r="C43" i="65"/>
  <c r="C41" i="65"/>
  <c r="C39" i="65"/>
  <c r="C37" i="65"/>
  <c r="C35" i="65"/>
  <c r="C29" i="65"/>
  <c r="C24" i="65"/>
  <c r="C20" i="65"/>
  <c r="AA19" i="48"/>
  <c r="AK16" i="57"/>
  <c r="D13" i="64"/>
  <c r="I13" i="64" s="1"/>
  <c r="D12" i="64"/>
  <c r="K11" i="46"/>
  <c r="K20" i="46" s="1"/>
  <c r="K58" i="46"/>
  <c r="E60" i="46"/>
  <c r="K49" i="46"/>
  <c r="J50" i="46"/>
  <c r="K26" i="46"/>
  <c r="L19" i="46"/>
  <c r="L11" i="46"/>
  <c r="R14" i="47"/>
  <c r="J16" i="48"/>
  <c r="J20" i="48" s="1"/>
  <c r="J24" i="48" s="1"/>
  <c r="K11" i="48"/>
  <c r="AA11" i="48" s="1"/>
  <c r="AK25" i="57"/>
  <c r="H26" i="67" s="1"/>
  <c r="AK17" i="57"/>
  <c r="H18" i="67" s="1"/>
  <c r="C13" i="102" s="1"/>
  <c r="Z10" i="57"/>
  <c r="Z14" i="57" s="1"/>
  <c r="F10" i="57"/>
  <c r="AD65" i="63"/>
  <c r="E15" i="102" s="1"/>
  <c r="G15" i="102" s="1"/>
  <c r="V65" i="63"/>
  <c r="E18" i="102" s="1"/>
  <c r="G18" i="102" s="1"/>
  <c r="N65" i="63"/>
  <c r="E8" i="102" s="1"/>
  <c r="G8" i="102" s="1"/>
  <c r="F65" i="63"/>
  <c r="E6" i="102" s="1"/>
  <c r="J40" i="64"/>
  <c r="J30" i="64"/>
  <c r="J27" i="64"/>
  <c r="D23" i="64"/>
  <c r="I23" i="64" s="1"/>
  <c r="C18" i="65"/>
  <c r="C16" i="65"/>
  <c r="AA15" i="48"/>
  <c r="G60" i="46"/>
  <c r="K47" i="46"/>
  <c r="D50" i="46"/>
  <c r="H12" i="67"/>
  <c r="C8" i="102" s="1"/>
  <c r="F51" i="64"/>
  <c r="J33" i="64"/>
  <c r="D30" i="64"/>
  <c r="I30" i="64" s="1"/>
  <c r="D29" i="64"/>
  <c r="D19" i="64"/>
  <c r="I19" i="64" s="1"/>
  <c r="J10" i="64"/>
  <c r="D8" i="64"/>
  <c r="I8" i="64" s="1"/>
  <c r="B20" i="15"/>
  <c r="C60" i="46"/>
  <c r="H50" i="46"/>
  <c r="K34" i="46"/>
  <c r="K56" i="46"/>
  <c r="K38" i="46"/>
  <c r="K28" i="46"/>
  <c r="AK26" i="57"/>
  <c r="H27" i="67" s="1"/>
  <c r="C18" i="102" s="1"/>
  <c r="D18" i="102" s="1"/>
  <c r="AK22" i="57"/>
  <c r="H23" i="67" s="1"/>
  <c r="C15" i="102" s="1"/>
  <c r="D15" i="102" s="1"/>
  <c r="V21" i="57"/>
  <c r="J21" i="57"/>
  <c r="AD27" i="57"/>
  <c r="AD10" i="57"/>
  <c r="AD14" i="57" s="1"/>
  <c r="V10" i="57"/>
  <c r="V14" i="57" s="1"/>
  <c r="J10" i="57"/>
  <c r="AB65" i="63"/>
  <c r="E14" i="102" s="1"/>
  <c r="G14" i="102" s="1"/>
  <c r="X65" i="63"/>
  <c r="E17" i="102" s="1"/>
  <c r="G17" i="102" s="1"/>
  <c r="T65" i="63"/>
  <c r="E12" i="102" s="1"/>
  <c r="G12" i="102" s="1"/>
  <c r="P65" i="63"/>
  <c r="E13" i="102" s="1"/>
  <c r="G13" i="102" s="1"/>
  <c r="L65" i="63"/>
  <c r="E10" i="102" s="1"/>
  <c r="G10" i="102" s="1"/>
  <c r="H65" i="63"/>
  <c r="E7" i="102" s="1"/>
  <c r="G7" i="102" s="1"/>
  <c r="D49" i="64"/>
  <c r="I49" i="64" s="1"/>
  <c r="J42" i="64"/>
  <c r="D40" i="64"/>
  <c r="I40" i="64" s="1"/>
  <c r="D39" i="64"/>
  <c r="D38" i="64"/>
  <c r="C14" i="65"/>
  <c r="G9" i="102"/>
  <c r="N44" i="51"/>
  <c r="B13" i="15"/>
  <c r="J60" i="46"/>
  <c r="H60" i="46"/>
  <c r="F60" i="46"/>
  <c r="K57" i="46"/>
  <c r="K48" i="46"/>
  <c r="I50" i="46"/>
  <c r="G50" i="46"/>
  <c r="E50" i="46"/>
  <c r="C50" i="46"/>
  <c r="I37" i="46"/>
  <c r="J13" i="47" s="1"/>
  <c r="K39" i="46"/>
  <c r="K37" i="46" s="1"/>
  <c r="J14" i="47" s="1"/>
  <c r="G37" i="46"/>
  <c r="C37" i="46"/>
  <c r="J10" i="47" s="1"/>
  <c r="I33" i="46"/>
  <c r="K35" i="46"/>
  <c r="G33" i="46"/>
  <c r="C33" i="46"/>
  <c r="I30" i="46"/>
  <c r="E30" i="46"/>
  <c r="K29" i="46"/>
  <c r="R22" i="47"/>
  <c r="K11" i="47" s="1"/>
  <c r="R23" i="47"/>
  <c r="B54" i="63"/>
  <c r="B65" i="63" s="1"/>
  <c r="B15" i="102"/>
  <c r="B14" i="102"/>
  <c r="B16" i="102"/>
  <c r="B17" i="102"/>
  <c r="B18" i="102"/>
  <c r="B12" i="102"/>
  <c r="B11" i="102"/>
  <c r="B13" i="102"/>
  <c r="D13" i="102" s="1"/>
  <c r="B8" i="102"/>
  <c r="B10" i="102"/>
  <c r="B9" i="102"/>
  <c r="B7" i="102"/>
  <c r="B19" i="102" s="1"/>
  <c r="B6" i="102"/>
  <c r="C48" i="63"/>
  <c r="C47" i="63"/>
  <c r="C46" i="63"/>
  <c r="C45" i="63"/>
  <c r="C44" i="63"/>
  <c r="C43" i="63"/>
  <c r="C42" i="63"/>
  <c r="C41" i="63"/>
  <c r="C40" i="63"/>
  <c r="C39" i="63"/>
  <c r="C38" i="63"/>
  <c r="C37" i="63"/>
  <c r="C36" i="63"/>
  <c r="C35" i="63"/>
  <c r="C34" i="63"/>
  <c r="C33" i="63"/>
  <c r="C32" i="63"/>
  <c r="C31" i="63"/>
  <c r="C30" i="63"/>
  <c r="B30" i="63" s="1"/>
  <c r="B30" i="64" s="1"/>
  <c r="H30" i="64" s="1"/>
  <c r="C29" i="63"/>
  <c r="C28" i="63"/>
  <c r="C27" i="63"/>
  <c r="C26" i="63"/>
  <c r="C25" i="63"/>
  <c r="C24" i="63"/>
  <c r="C23" i="63"/>
  <c r="C22" i="63"/>
  <c r="C21" i="63"/>
  <c r="C20" i="63"/>
  <c r="C19" i="63"/>
  <c r="C18" i="63"/>
  <c r="B18" i="63" s="1"/>
  <c r="B18" i="64" s="1"/>
  <c r="H18" i="64" s="1"/>
  <c r="C17" i="63"/>
  <c r="C16" i="63"/>
  <c r="C15" i="63"/>
  <c r="C14" i="63"/>
  <c r="B14" i="63" s="1"/>
  <c r="B14" i="64" s="1"/>
  <c r="C13" i="63"/>
  <c r="C12" i="63"/>
  <c r="C11" i="63"/>
  <c r="C10" i="63"/>
  <c r="B10" i="63" s="1"/>
  <c r="B10" i="64" s="1"/>
  <c r="H10" i="64" s="1"/>
  <c r="C9" i="63"/>
  <c r="C8" i="63"/>
  <c r="C7" i="63"/>
  <c r="C6" i="63"/>
  <c r="C51" i="63" s="1"/>
  <c r="C5" i="63"/>
  <c r="D50" i="64"/>
  <c r="C51" i="64"/>
  <c r="D41" i="64"/>
  <c r="I41" i="64" s="1"/>
  <c r="D31" i="64"/>
  <c r="I31" i="64" s="1"/>
  <c r="D25" i="64"/>
  <c r="I25" i="64" s="1"/>
  <c r="D24" i="64"/>
  <c r="D20" i="64"/>
  <c r="I20" i="64" s="1"/>
  <c r="D15" i="64"/>
  <c r="I15" i="64" s="1"/>
  <c r="D14" i="64"/>
  <c r="D9" i="64"/>
  <c r="I9" i="64" s="1"/>
  <c r="D6" i="64"/>
  <c r="I6" i="64" s="1"/>
  <c r="C57" i="65"/>
  <c r="G7" i="65"/>
  <c r="C22" i="65"/>
  <c r="C12" i="65"/>
  <c r="E7" i="65"/>
  <c r="K59" i="46"/>
  <c r="K46" i="46"/>
  <c r="I25" i="46"/>
  <c r="K27" i="46"/>
  <c r="G25" i="46"/>
  <c r="C25" i="46"/>
  <c r="R7" i="47"/>
  <c r="F14" i="57"/>
  <c r="D48" i="63"/>
  <c r="D47" i="63"/>
  <c r="D46" i="63"/>
  <c r="D45" i="63"/>
  <c r="D44" i="63"/>
  <c r="D43" i="63"/>
  <c r="D42" i="63"/>
  <c r="D41" i="63"/>
  <c r="D40" i="63"/>
  <c r="D39" i="63"/>
  <c r="D38" i="63"/>
  <c r="D37" i="63"/>
  <c r="B37" i="63" s="1"/>
  <c r="B37" i="64" s="1"/>
  <c r="H37" i="64" s="1"/>
  <c r="D36" i="63"/>
  <c r="D35" i="63"/>
  <c r="D34" i="63"/>
  <c r="D33" i="63"/>
  <c r="B33" i="63" s="1"/>
  <c r="B33" i="64" s="1"/>
  <c r="D32" i="63"/>
  <c r="D31" i="63"/>
  <c r="D30" i="63"/>
  <c r="D29" i="63"/>
  <c r="D28" i="63"/>
  <c r="D27" i="63"/>
  <c r="D26" i="63"/>
  <c r="D25" i="63"/>
  <c r="D24" i="63"/>
  <c r="D23" i="63"/>
  <c r="D22" i="63"/>
  <c r="D21" i="63"/>
  <c r="D20" i="63"/>
  <c r="D19" i="63"/>
  <c r="D18" i="63"/>
  <c r="D17" i="63"/>
  <c r="D16" i="63"/>
  <c r="D15" i="63"/>
  <c r="D14" i="63"/>
  <c r="D13" i="63"/>
  <c r="D12" i="63"/>
  <c r="D11" i="63"/>
  <c r="D10" i="63"/>
  <c r="D9" i="63"/>
  <c r="D8" i="63"/>
  <c r="D7" i="63"/>
  <c r="D6" i="63"/>
  <c r="D5" i="63"/>
  <c r="D48" i="64"/>
  <c r="I48" i="64" s="1"/>
  <c r="G51" i="64"/>
  <c r="D47" i="64"/>
  <c r="D46" i="64"/>
  <c r="I46" i="64" s="1"/>
  <c r="D44" i="64"/>
  <c r="I44" i="64" s="1"/>
  <c r="D42" i="64"/>
  <c r="I42" i="64" s="1"/>
  <c r="D37" i="64"/>
  <c r="I37" i="64" s="1"/>
  <c r="D36" i="64"/>
  <c r="D35" i="64"/>
  <c r="D34" i="64"/>
  <c r="D33" i="64"/>
  <c r="I33" i="64" s="1"/>
  <c r="D32" i="64"/>
  <c r="D28" i="64"/>
  <c r="I28" i="64" s="1"/>
  <c r="D27" i="64"/>
  <c r="I27" i="64" s="1"/>
  <c r="D26" i="64"/>
  <c r="D22" i="64"/>
  <c r="I22" i="64" s="1"/>
  <c r="D21" i="64"/>
  <c r="J20" i="64"/>
  <c r="D18" i="64"/>
  <c r="I18" i="64" s="1"/>
  <c r="D17" i="64"/>
  <c r="I17" i="64" s="1"/>
  <c r="D16" i="64"/>
  <c r="D11" i="64"/>
  <c r="I11" i="64" s="1"/>
  <c r="D10" i="64"/>
  <c r="I10" i="64" s="1"/>
  <c r="D7" i="64"/>
  <c r="I7" i="64" s="1"/>
  <c r="F19" i="102"/>
  <c r="C90" i="65"/>
  <c r="C88" i="65"/>
  <c r="C86" i="65"/>
  <c r="C84" i="65"/>
  <c r="C82" i="65"/>
  <c r="C80" i="65"/>
  <c r="C78" i="65"/>
  <c r="C76" i="65"/>
  <c r="C74" i="65"/>
  <c r="C72" i="65"/>
  <c r="C70" i="65"/>
  <c r="C68" i="65"/>
  <c r="C66" i="65"/>
  <c r="C64" i="65"/>
  <c r="C62" i="65"/>
  <c r="C60" i="65"/>
  <c r="C58" i="65"/>
  <c r="C56" i="65"/>
  <c r="C54" i="65"/>
  <c r="C52" i="65"/>
  <c r="C50" i="65"/>
  <c r="C48" i="65"/>
  <c r="C46" i="65"/>
  <c r="C44" i="65"/>
  <c r="C42" i="65"/>
  <c r="C40" i="65"/>
  <c r="C38" i="65"/>
  <c r="C36" i="65"/>
  <c r="C33" i="65"/>
  <c r="C25" i="65"/>
  <c r="C23" i="65"/>
  <c r="C21" i="65"/>
  <c r="C19" i="65"/>
  <c r="C17" i="65"/>
  <c r="C15" i="65"/>
  <c r="C13" i="65"/>
  <c r="F7" i="65"/>
  <c r="C11" i="65"/>
  <c r="C10" i="65"/>
  <c r="C9" i="65"/>
  <c r="D7" i="65"/>
  <c r="F22" i="55"/>
  <c r="N22" i="55"/>
  <c r="J12" i="47"/>
  <c r="G6" i="102"/>
  <c r="E19" i="102"/>
  <c r="E37" i="46"/>
  <c r="J11" i="47" s="1"/>
  <c r="E33" i="46"/>
  <c r="E25" i="46"/>
  <c r="AK23" i="57"/>
  <c r="H24" i="67" s="1"/>
  <c r="C16" i="102" s="1"/>
  <c r="D16" i="102" s="1"/>
  <c r="AK20" i="57"/>
  <c r="H21" i="67" s="1"/>
  <c r="AK13" i="57"/>
  <c r="H14" i="67" s="1"/>
  <c r="C10" i="102" s="1"/>
  <c r="D10" i="102" s="1"/>
  <c r="AK8" i="57"/>
  <c r="H16" i="67"/>
  <c r="AK12" i="57"/>
  <c r="H13" i="67" s="1"/>
  <c r="C9" i="102" s="1"/>
  <c r="J14" i="57"/>
  <c r="D60" i="46"/>
  <c r="K31" i="46"/>
  <c r="K30" i="46" s="1"/>
  <c r="R21" i="47"/>
  <c r="K10" i="47" s="1"/>
  <c r="AK24" i="57"/>
  <c r="H25" i="67" s="1"/>
  <c r="C17" i="102" s="1"/>
  <c r="AK19" i="57"/>
  <c r="AG18" i="57"/>
  <c r="AG27" i="57" s="1"/>
  <c r="AG28" i="57" s="1"/>
  <c r="AK9" i="57"/>
  <c r="H10" i="67" s="1"/>
  <c r="C7" i="102" s="1"/>
  <c r="B47" i="63"/>
  <c r="B47" i="64" s="1"/>
  <c r="B45" i="63"/>
  <c r="B41" i="63"/>
  <c r="B41" i="64" s="1"/>
  <c r="H41" i="64" s="1"/>
  <c r="B39" i="63"/>
  <c r="B39" i="64" s="1"/>
  <c r="B26" i="63"/>
  <c r="B26" i="64" s="1"/>
  <c r="B22" i="63"/>
  <c r="B22" i="64" s="1"/>
  <c r="H22" i="64" s="1"/>
  <c r="E51" i="64"/>
  <c r="J48" i="64"/>
  <c r="J44" i="64"/>
  <c r="J41" i="64"/>
  <c r="J37" i="64"/>
  <c r="J31" i="64"/>
  <c r="J28" i="64"/>
  <c r="J25" i="64"/>
  <c r="J22" i="64"/>
  <c r="J18" i="64"/>
  <c r="J15" i="64"/>
  <c r="J11" i="64"/>
  <c r="J9" i="64"/>
  <c r="J6" i="64"/>
  <c r="C8" i="65"/>
  <c r="H75" i="72"/>
  <c r="H69" i="72"/>
  <c r="H64" i="72"/>
  <c r="H76" i="72"/>
  <c r="F85" i="12"/>
  <c r="E12" i="15"/>
  <c r="E18" i="15"/>
  <c r="E17" i="15"/>
  <c r="E16" i="15"/>
  <c r="E10" i="15"/>
  <c r="E9" i="15"/>
  <c r="U20" i="38"/>
  <c r="H7" i="57"/>
  <c r="P7" i="56"/>
  <c r="T7" i="57" s="1"/>
  <c r="D7" i="57"/>
  <c r="L7" i="56"/>
  <c r="B69" i="12"/>
  <c r="D43" i="12"/>
  <c r="B10" i="12"/>
  <c r="D9" i="12"/>
  <c r="B75" i="12"/>
  <c r="E73" i="12"/>
  <c r="B68" i="12"/>
  <c r="B63" i="12"/>
  <c r="B61" i="12" s="1"/>
  <c r="C17" i="15" s="1"/>
  <c r="E61" i="12"/>
  <c r="B58" i="12"/>
  <c r="B56" i="12" s="1"/>
  <c r="C16" i="15" s="1"/>
  <c r="E56" i="12"/>
  <c r="E43" i="12"/>
  <c r="B31" i="12"/>
  <c r="B29" i="12" s="1"/>
  <c r="C12" i="15" s="1"/>
  <c r="E29" i="12"/>
  <c r="B18" i="12"/>
  <c r="B17" i="12" s="1"/>
  <c r="C10" i="15" s="1"/>
  <c r="F14" i="15"/>
  <c r="I23" i="15" s="1"/>
  <c r="Y20" i="30"/>
  <c r="U20" i="30"/>
  <c r="AE20" i="33"/>
  <c r="AA20" i="33"/>
  <c r="W20" i="33"/>
  <c r="Q20" i="33"/>
  <c r="M20" i="33"/>
  <c r="AE20" i="34"/>
  <c r="AA20" i="34"/>
  <c r="W20" i="34"/>
  <c r="Q20" i="34"/>
  <c r="M20" i="34"/>
  <c r="AE20" i="35"/>
  <c r="AA20" i="35"/>
  <c r="W20" i="35"/>
  <c r="AE20" i="36"/>
  <c r="AC20" i="36"/>
  <c r="AA20" i="36"/>
  <c r="Y20" i="36"/>
  <c r="W20" i="36"/>
  <c r="U20" i="36"/>
  <c r="Q20" i="36"/>
  <c r="O20" i="36"/>
  <c r="M20" i="36"/>
  <c r="K20" i="36"/>
  <c r="S19" i="36"/>
  <c r="R18" i="36"/>
  <c r="S18" i="36" s="1"/>
  <c r="F18" i="36"/>
  <c r="G18" i="36" s="1"/>
  <c r="H16" i="36"/>
  <c r="I16" i="36" s="1"/>
  <c r="R14" i="36"/>
  <c r="S14" i="36" s="1"/>
  <c r="F14" i="36"/>
  <c r="G14" i="36" s="1"/>
  <c r="H12" i="36"/>
  <c r="I12" i="36" s="1"/>
  <c r="P12" i="67"/>
  <c r="I7" i="57"/>
  <c r="Q7" i="56"/>
  <c r="U7" i="57" s="1"/>
  <c r="G7" i="57"/>
  <c r="M7" i="56"/>
  <c r="C7" i="57"/>
  <c r="K7" i="56"/>
  <c r="R20" i="30"/>
  <c r="H20" i="30"/>
  <c r="I20" i="37" s="1"/>
  <c r="F20" i="30"/>
  <c r="G20" i="37" s="1"/>
  <c r="AC20" i="33"/>
  <c r="Y20" i="33"/>
  <c r="U20" i="33"/>
  <c r="O20" i="33"/>
  <c r="K20" i="33"/>
  <c r="AC20" i="34"/>
  <c r="Y20" i="34"/>
  <c r="U20" i="34"/>
  <c r="O20" i="34"/>
  <c r="K20" i="34"/>
  <c r="B23" i="35"/>
  <c r="B23" i="38" s="1"/>
  <c r="AC20" i="35"/>
  <c r="Y20" i="35"/>
  <c r="U20" i="35"/>
  <c r="O20" i="35"/>
  <c r="K20" i="35"/>
  <c r="B23" i="36"/>
  <c r="H20" i="36"/>
  <c r="H18" i="36"/>
  <c r="I18" i="36" s="1"/>
  <c r="R16" i="36"/>
  <c r="S16" i="36" s="1"/>
  <c r="F16" i="36"/>
  <c r="G16" i="36" s="1"/>
  <c r="H14" i="36"/>
  <c r="I14" i="36" s="1"/>
  <c r="R12" i="36"/>
  <c r="S12" i="36" s="1"/>
  <c r="F12" i="36"/>
  <c r="G12" i="36" s="1"/>
  <c r="P22" i="80"/>
  <c r="X22" i="80"/>
  <c r="X18" i="80"/>
  <c r="F44" i="41"/>
  <c r="F42" i="41"/>
  <c r="F40" i="41"/>
  <c r="F38" i="41"/>
  <c r="F36" i="41"/>
  <c r="F34" i="41"/>
  <c r="D33" i="41"/>
  <c r="F32" i="41"/>
  <c r="D31" i="41"/>
  <c r="F30" i="41"/>
  <c r="D29" i="41"/>
  <c r="F28" i="41"/>
  <c r="D27" i="41"/>
  <c r="F26" i="41"/>
  <c r="D25" i="41"/>
  <c r="F24" i="41"/>
  <c r="D23" i="41"/>
  <c r="F22" i="41"/>
  <c r="D21" i="41"/>
  <c r="F20" i="41"/>
  <c r="D19" i="41"/>
  <c r="F18" i="41"/>
  <c r="D17" i="41"/>
  <c r="F16" i="41"/>
  <c r="D15" i="41"/>
  <c r="F14" i="41"/>
  <c r="AD16" i="55"/>
  <c r="AD17" i="55" s="1"/>
  <c r="H61" i="72"/>
  <c r="X24" i="80"/>
  <c r="P20" i="80"/>
  <c r="X15" i="80"/>
  <c r="H19" i="36"/>
  <c r="I19" i="36" s="1"/>
  <c r="H17" i="36"/>
  <c r="I17" i="36" s="1"/>
  <c r="H15" i="36"/>
  <c r="I15" i="36" s="1"/>
  <c r="H13" i="36"/>
  <c r="I13" i="36" s="1"/>
  <c r="H11" i="36"/>
  <c r="I11" i="36" s="1"/>
  <c r="F45" i="41"/>
  <c r="D44" i="41"/>
  <c r="F43" i="41"/>
  <c r="D42" i="41"/>
  <c r="F41" i="41"/>
  <c r="D40" i="41"/>
  <c r="F39" i="41"/>
  <c r="D38" i="41"/>
  <c r="F37" i="41"/>
  <c r="D36" i="41"/>
  <c r="F35" i="41"/>
  <c r="D34" i="41"/>
  <c r="F33" i="41"/>
  <c r="D32" i="41"/>
  <c r="F31" i="41"/>
  <c r="D30" i="41"/>
  <c r="F29" i="41"/>
  <c r="D28" i="41"/>
  <c r="F27" i="41"/>
  <c r="D26" i="41"/>
  <c r="F25" i="41"/>
  <c r="D24" i="41"/>
  <c r="F23" i="41"/>
  <c r="D22" i="41"/>
  <c r="F21" i="41"/>
  <c r="D20" i="41"/>
  <c r="F19" i="41"/>
  <c r="D18" i="41"/>
  <c r="F17" i="41"/>
  <c r="D16" i="41"/>
  <c r="P26" i="92"/>
  <c r="P24" i="92"/>
  <c r="P16" i="92"/>
  <c r="P14" i="92"/>
  <c r="H28" i="92"/>
  <c r="H73" i="72"/>
  <c r="G16" i="75"/>
  <c r="L12" i="75" s="1"/>
  <c r="X23" i="80"/>
  <c r="X21" i="80"/>
  <c r="X16" i="80"/>
  <c r="O13" i="80"/>
  <c r="A3" i="84"/>
  <c r="A3" i="82"/>
  <c r="A3" i="83"/>
  <c r="W26" i="44" l="1"/>
  <c r="U34" i="44"/>
  <c r="W34" i="44" s="1"/>
  <c r="T44" i="55"/>
  <c r="P20" i="22"/>
  <c r="C24" i="10"/>
  <c r="O44" i="55"/>
  <c r="AD44" i="53"/>
  <c r="H17" i="67"/>
  <c r="C12" i="102" s="1"/>
  <c r="AK18" i="57"/>
  <c r="G22" i="55"/>
  <c r="H15" i="93"/>
  <c r="K14" i="21"/>
  <c r="P9" i="67"/>
  <c r="AD44" i="54"/>
  <c r="O34" i="70"/>
  <c r="B73" i="12"/>
  <c r="C19" i="15" s="1"/>
  <c r="H16" i="93"/>
  <c r="F34" i="12"/>
  <c r="B34" i="12" s="1"/>
  <c r="D24" i="45"/>
  <c r="Z43" i="55"/>
  <c r="U44" i="56"/>
  <c r="P23" i="80"/>
  <c r="W23" i="80"/>
  <c r="B19" i="10"/>
  <c r="D19" i="10" s="1"/>
  <c r="G19" i="10" s="1"/>
  <c r="E19" i="10"/>
  <c r="J16" i="10" s="1"/>
  <c r="AA20" i="30"/>
  <c r="AA20" i="38"/>
  <c r="K17" i="21"/>
  <c r="Y25" i="80"/>
  <c r="AA44" i="53"/>
  <c r="AC22" i="51"/>
  <c r="L15" i="45"/>
  <c r="P15" i="45"/>
  <c r="H15" i="45"/>
  <c r="T15" i="45"/>
  <c r="O25" i="80"/>
  <c r="N12" i="80"/>
  <c r="O12" i="80" s="1"/>
  <c r="Q37" i="62"/>
  <c r="F24" i="45"/>
  <c r="AD44" i="51"/>
  <c r="R8" i="54"/>
  <c r="R8" i="51"/>
  <c r="V8" i="50"/>
  <c r="R8" i="53"/>
  <c r="P44" i="55"/>
  <c r="G44" i="55"/>
  <c r="I42" i="78"/>
  <c r="K8" i="78"/>
  <c r="B35" i="63"/>
  <c r="B35" i="64" s="1"/>
  <c r="B43" i="63"/>
  <c r="B43" i="64" s="1"/>
  <c r="K33" i="46"/>
  <c r="X20" i="80"/>
  <c r="H25" i="72"/>
  <c r="D34" i="12"/>
  <c r="D7" i="102"/>
  <c r="P18" i="80"/>
  <c r="W24" i="80"/>
  <c r="P24" i="80"/>
  <c r="P35" i="44"/>
  <c r="Q35" i="44" s="1"/>
  <c r="D16" i="45"/>
  <c r="D27" i="45"/>
  <c r="X43" i="55"/>
  <c r="X44" i="55" s="1"/>
  <c r="S43" i="55"/>
  <c r="S44" i="55" s="1"/>
  <c r="Y12" i="82"/>
  <c r="E18" i="88"/>
  <c r="AD43" i="53"/>
  <c r="E11" i="93"/>
  <c r="H11" i="93" s="1"/>
  <c r="H28" i="93" s="1"/>
  <c r="P28" i="96"/>
  <c r="J8" i="78"/>
  <c r="H42" i="78"/>
  <c r="B67" i="12"/>
  <c r="C18" i="15" s="1"/>
  <c r="D18" i="15" s="1"/>
  <c r="B9" i="12"/>
  <c r="C9" i="15" s="1"/>
  <c r="D9" i="15" s="1"/>
  <c r="D9" i="102"/>
  <c r="N43" i="55"/>
  <c r="N44" i="55" s="1"/>
  <c r="AD44" i="50"/>
  <c r="J44" i="56"/>
  <c r="H13" i="93"/>
  <c r="D19" i="45"/>
  <c r="D23" i="45"/>
  <c r="K43" i="55"/>
  <c r="Y43" i="55"/>
  <c r="Y44" i="55" s="1"/>
  <c r="P22" i="55"/>
  <c r="AJ28" i="57"/>
  <c r="H17" i="93"/>
  <c r="K87" i="11"/>
  <c r="AD43" i="54"/>
  <c r="AC43" i="51"/>
  <c r="AB43" i="54"/>
  <c r="AB44" i="54" s="1"/>
  <c r="AC22" i="54"/>
  <c r="AA44" i="52"/>
  <c r="AC43" i="50"/>
  <c r="AC22" i="52"/>
  <c r="AC44" i="52" s="1"/>
  <c r="AA43" i="51"/>
  <c r="AA44" i="51" s="1"/>
  <c r="E34" i="12"/>
  <c r="D85" i="12"/>
  <c r="D87" i="12" s="1"/>
  <c r="K25" i="46"/>
  <c r="H23" i="93"/>
  <c r="F28" i="93"/>
  <c r="K34" i="12"/>
  <c r="M44" i="55"/>
  <c r="U43" i="55"/>
  <c r="U44" i="55" s="1"/>
  <c r="AI27" i="57"/>
  <c r="AA43" i="54"/>
  <c r="AA44" i="54" s="1"/>
  <c r="AD22" i="52"/>
  <c r="AD44" i="52" s="1"/>
  <c r="AC43" i="54"/>
  <c r="AB44" i="50"/>
  <c r="AC22" i="53"/>
  <c r="AC44" i="53" s="1"/>
  <c r="AD20" i="55"/>
  <c r="AC22" i="50"/>
  <c r="B6" i="63"/>
  <c r="B6" i="64" s="1"/>
  <c r="H6" i="64" s="1"/>
  <c r="B8" i="63"/>
  <c r="B8" i="64" s="1"/>
  <c r="H8" i="64" s="1"/>
  <c r="B12" i="63"/>
  <c r="B12" i="64" s="1"/>
  <c r="B16" i="63"/>
  <c r="B16" i="64" s="1"/>
  <c r="B20" i="63"/>
  <c r="B20" i="64" s="1"/>
  <c r="B24" i="63"/>
  <c r="B24" i="64" s="1"/>
  <c r="B28" i="63"/>
  <c r="B28" i="64" s="1"/>
  <c r="H28" i="64" s="1"/>
  <c r="B32" i="63"/>
  <c r="B32" i="64" s="1"/>
  <c r="B34" i="63"/>
  <c r="B34" i="64" s="1"/>
  <c r="B36" i="63"/>
  <c r="B36" i="64" s="1"/>
  <c r="B38" i="63"/>
  <c r="B38" i="64" s="1"/>
  <c r="B40" i="63"/>
  <c r="B40" i="64" s="1"/>
  <c r="H40" i="64" s="1"/>
  <c r="B42" i="63"/>
  <c r="B42" i="64" s="1"/>
  <c r="H42" i="64" s="1"/>
  <c r="B44" i="63"/>
  <c r="B44" i="64" s="1"/>
  <c r="H44" i="64" s="1"/>
  <c r="B46" i="63"/>
  <c r="B46" i="64" s="1"/>
  <c r="H46" i="64" s="1"/>
  <c r="B48" i="63"/>
  <c r="B48" i="64" s="1"/>
  <c r="H48" i="64" s="1"/>
  <c r="V27" i="57"/>
  <c r="V28" i="57" s="1"/>
  <c r="AD27" i="55"/>
  <c r="AB43" i="55"/>
  <c r="AB44" i="55" s="1"/>
  <c r="F43" i="55"/>
  <c r="R43" i="55"/>
  <c r="V43" i="55"/>
  <c r="V44" i="55" s="1"/>
  <c r="Z44" i="55"/>
  <c r="H18" i="93"/>
  <c r="AD32" i="55"/>
  <c r="E22" i="55"/>
  <c r="E44" i="55" s="1"/>
  <c r="K22" i="55"/>
  <c r="K44" i="55" s="1"/>
  <c r="F44" i="55"/>
  <c r="J44" i="55"/>
  <c r="AD13" i="55"/>
  <c r="AD22" i="55" s="1"/>
  <c r="P19" i="80"/>
  <c r="Y19" i="80"/>
  <c r="D14" i="93"/>
  <c r="H14" i="93" s="1"/>
  <c r="J51" i="64"/>
  <c r="B7" i="63"/>
  <c r="B7" i="64" s="1"/>
  <c r="B9" i="63"/>
  <c r="B9" i="64" s="1"/>
  <c r="H9" i="64" s="1"/>
  <c r="B11" i="63"/>
  <c r="B11" i="64" s="1"/>
  <c r="H11" i="64" s="1"/>
  <c r="B13" i="63"/>
  <c r="B13" i="64" s="1"/>
  <c r="H13" i="64" s="1"/>
  <c r="B15" i="63"/>
  <c r="B15" i="64" s="1"/>
  <c r="H15" i="64" s="1"/>
  <c r="B17" i="63"/>
  <c r="B17" i="64" s="1"/>
  <c r="H17" i="64" s="1"/>
  <c r="B19" i="63"/>
  <c r="B19" i="64" s="1"/>
  <c r="H19" i="64" s="1"/>
  <c r="B21" i="63"/>
  <c r="B21" i="64" s="1"/>
  <c r="B23" i="63"/>
  <c r="B23" i="64" s="1"/>
  <c r="H23" i="64" s="1"/>
  <c r="B25" i="63"/>
  <c r="B25" i="64" s="1"/>
  <c r="H25" i="64" s="1"/>
  <c r="B27" i="63"/>
  <c r="B27" i="64" s="1"/>
  <c r="H27" i="64" s="1"/>
  <c r="B29" i="63"/>
  <c r="B29" i="64" s="1"/>
  <c r="B31" i="63"/>
  <c r="B31" i="64" s="1"/>
  <c r="H31" i="64" s="1"/>
  <c r="R24" i="47"/>
  <c r="K14" i="47" s="1"/>
  <c r="P10" i="92"/>
  <c r="P22" i="92"/>
  <c r="C28" i="92"/>
  <c r="P28" i="95"/>
  <c r="P18" i="92"/>
  <c r="K50" i="46"/>
  <c r="G88" i="46" s="1"/>
  <c r="C28" i="93"/>
  <c r="P28" i="94"/>
  <c r="I32" i="43"/>
  <c r="H33" i="43"/>
  <c r="G33" i="43"/>
  <c r="I38" i="43" s="1"/>
  <c r="E18" i="43"/>
  <c r="D33" i="43"/>
  <c r="F26" i="45"/>
  <c r="J35" i="44"/>
  <c r="K35" i="44" s="1"/>
  <c r="Y16" i="80"/>
  <c r="P12" i="83"/>
  <c r="X14" i="80"/>
  <c r="Y18" i="80"/>
  <c r="K43" i="73"/>
  <c r="I20" i="36"/>
  <c r="I34" i="12"/>
  <c r="H34" i="12"/>
  <c r="G34" i="12"/>
  <c r="H87" i="11"/>
  <c r="K9" i="74" s="1"/>
  <c r="P9" i="74" s="1"/>
  <c r="G87" i="11"/>
  <c r="E87" i="11"/>
  <c r="B87" i="11" s="1"/>
  <c r="X19" i="79"/>
  <c r="O20" i="22"/>
  <c r="C23" i="10"/>
  <c r="B22" i="10"/>
  <c r="D22" i="10" s="1"/>
  <c r="G22" i="10" s="1"/>
  <c r="F87" i="12"/>
  <c r="J87" i="11"/>
  <c r="B85" i="11"/>
  <c r="C21" i="10"/>
  <c r="P11" i="67"/>
  <c r="P28" i="67" s="1"/>
  <c r="K16" i="21"/>
  <c r="Y20" i="38"/>
  <c r="C20" i="10"/>
  <c r="K15" i="21"/>
  <c r="W20" i="38"/>
  <c r="W20" i="30"/>
  <c r="P10" i="67"/>
  <c r="J20" i="22"/>
  <c r="S20" i="38" s="1"/>
  <c r="I20" i="22"/>
  <c r="C15" i="10"/>
  <c r="B15" i="10" s="1"/>
  <c r="D15" i="10" s="1"/>
  <c r="G15" i="10" s="1"/>
  <c r="K11" i="74"/>
  <c r="P11" i="74" s="1"/>
  <c r="H20" i="22"/>
  <c r="D20" i="22" s="1"/>
  <c r="C14" i="10"/>
  <c r="G20" i="22"/>
  <c r="C13" i="10"/>
  <c r="B34" i="11"/>
  <c r="U19" i="79" s="1"/>
  <c r="V19" i="79" s="1"/>
  <c r="C12" i="10"/>
  <c r="K20" i="38"/>
  <c r="K20" i="30"/>
  <c r="P4" i="67"/>
  <c r="K8" i="21"/>
  <c r="K8" i="74"/>
  <c r="J27" i="57"/>
  <c r="J28" i="57" s="1"/>
  <c r="F27" i="57"/>
  <c r="F28" i="57" s="1"/>
  <c r="F24" i="68"/>
  <c r="Y20" i="80"/>
  <c r="Y14" i="80"/>
  <c r="Y22" i="80"/>
  <c r="W25" i="85"/>
  <c r="Y25" i="85"/>
  <c r="X25" i="85"/>
  <c r="E18" i="91"/>
  <c r="E18" i="86" s="1"/>
  <c r="W12" i="85"/>
  <c r="G18" i="91" s="1"/>
  <c r="Y12" i="85"/>
  <c r="X12" i="85"/>
  <c r="P25" i="92"/>
  <c r="B45" i="64"/>
  <c r="Z28" i="57"/>
  <c r="B5" i="63"/>
  <c r="B5" i="64" s="1"/>
  <c r="D12" i="102"/>
  <c r="P29" i="67"/>
  <c r="AI28" i="57"/>
  <c r="R28" i="57"/>
  <c r="S44" i="56"/>
  <c r="D44" i="55"/>
  <c r="AC43" i="55"/>
  <c r="AC44" i="55" s="1"/>
  <c r="AA43" i="55"/>
  <c r="AA44" i="55" s="1"/>
  <c r="D51" i="63"/>
  <c r="D17" i="102"/>
  <c r="D8" i="102"/>
  <c r="F15" i="45"/>
  <c r="F20" i="45"/>
  <c r="D13" i="45"/>
  <c r="D17" i="45"/>
  <c r="D25" i="45"/>
  <c r="D28" i="45"/>
  <c r="D32" i="45"/>
  <c r="L20" i="45"/>
  <c r="H20" i="45"/>
  <c r="P20" i="45"/>
  <c r="N34" i="45"/>
  <c r="M35" i="45"/>
  <c r="N35" i="45" s="1"/>
  <c r="V34" i="45"/>
  <c r="U35" i="45"/>
  <c r="V35" i="45" s="1"/>
  <c r="L26" i="45"/>
  <c r="C34" i="45"/>
  <c r="H26" i="45"/>
  <c r="P26" i="45"/>
  <c r="J34" i="45"/>
  <c r="I35" i="45"/>
  <c r="J35" i="45" s="1"/>
  <c r="R34" i="45"/>
  <c r="Q35" i="45"/>
  <c r="R35" i="45" s="1"/>
  <c r="T34" i="44"/>
  <c r="S35" i="44"/>
  <c r="T35" i="44" s="1"/>
  <c r="V35" i="44"/>
  <c r="E34" i="44"/>
  <c r="D35" i="44"/>
  <c r="E35" i="44" s="1"/>
  <c r="W15" i="44"/>
  <c r="T22" i="40"/>
  <c r="L13" i="75"/>
  <c r="H10" i="93"/>
  <c r="D28" i="93"/>
  <c r="H26" i="93"/>
  <c r="Y15" i="80"/>
  <c r="Y24" i="80"/>
  <c r="I85" i="12"/>
  <c r="I87" i="12" s="1"/>
  <c r="J85" i="12"/>
  <c r="J87" i="12" s="1"/>
  <c r="V12" i="80"/>
  <c r="F18" i="86" s="1"/>
  <c r="L9" i="75"/>
  <c r="G85" i="12"/>
  <c r="K85" i="12"/>
  <c r="K87" i="12" s="1"/>
  <c r="H85" i="12"/>
  <c r="H87" i="12" s="1"/>
  <c r="H24" i="93"/>
  <c r="Z16" i="48"/>
  <c r="Z20" i="48" s="1"/>
  <c r="Z24" i="48" s="1"/>
  <c r="I88" i="46"/>
  <c r="P13" i="92"/>
  <c r="L20" i="46"/>
  <c r="P27" i="92"/>
  <c r="P23" i="92"/>
  <c r="P21" i="92"/>
  <c r="P19" i="92"/>
  <c r="P17" i="92"/>
  <c r="P21" i="39"/>
  <c r="G78" i="39"/>
  <c r="K66" i="39" s="1"/>
  <c r="C7" i="65"/>
  <c r="B21" i="15"/>
  <c r="K16" i="48"/>
  <c r="K20" i="48" s="1"/>
  <c r="D51" i="64"/>
  <c r="I51" i="64" s="1"/>
  <c r="AD42" i="55"/>
  <c r="R44" i="55"/>
  <c r="AD28" i="57"/>
  <c r="AA16" i="48"/>
  <c r="AA20" i="48" s="1"/>
  <c r="C88" i="46"/>
  <c r="G19" i="102"/>
  <c r="K60" i="46"/>
  <c r="F99" i="46" s="1"/>
  <c r="H20" i="67"/>
  <c r="AK21" i="57"/>
  <c r="AK27" i="57" s="1"/>
  <c r="H19" i="67"/>
  <c r="C11" i="102"/>
  <c r="D11" i="102" s="1"/>
  <c r="AK10" i="57"/>
  <c r="AK14" i="57" s="1"/>
  <c r="H9" i="67"/>
  <c r="F88" i="46"/>
  <c r="H49" i="64"/>
  <c r="P13" i="80"/>
  <c r="X13" i="80"/>
  <c r="G20" i="35"/>
  <c r="G20" i="34"/>
  <c r="G20" i="33"/>
  <c r="S20" i="37"/>
  <c r="S20" i="35"/>
  <c r="S20" i="34"/>
  <c r="S20" i="33"/>
  <c r="K20" i="21"/>
  <c r="K7" i="57"/>
  <c r="O7" i="57"/>
  <c r="S7" i="56"/>
  <c r="W7" i="57" s="1"/>
  <c r="M7" i="57"/>
  <c r="Q7" i="57"/>
  <c r="U7" i="56"/>
  <c r="Y7" i="57" s="1"/>
  <c r="L7" i="57"/>
  <c r="P7" i="57"/>
  <c r="T7" i="56"/>
  <c r="X7" i="57" s="1"/>
  <c r="E13" i="15"/>
  <c r="F9" i="15"/>
  <c r="I19" i="15" s="1"/>
  <c r="D16" i="15"/>
  <c r="F16" i="15"/>
  <c r="I25" i="15" s="1"/>
  <c r="F18" i="15"/>
  <c r="I27" i="15" s="1"/>
  <c r="D12" i="15"/>
  <c r="F12" i="15"/>
  <c r="I22" i="15" s="1"/>
  <c r="D19" i="15"/>
  <c r="F19" i="15"/>
  <c r="I28" i="15" s="1"/>
  <c r="W13" i="80"/>
  <c r="L11" i="75"/>
  <c r="L15" i="75"/>
  <c r="L10" i="75"/>
  <c r="L14" i="75"/>
  <c r="E85" i="12"/>
  <c r="C13" i="15"/>
  <c r="S20" i="36"/>
  <c r="E15" i="10"/>
  <c r="J15" i="10" s="1"/>
  <c r="I20" i="35"/>
  <c r="I20" i="34"/>
  <c r="I20" i="33"/>
  <c r="D10" i="15"/>
  <c r="F10" i="15"/>
  <c r="I20" i="15" s="1"/>
  <c r="D15" i="15"/>
  <c r="F15" i="15"/>
  <c r="I24" i="15" s="1"/>
  <c r="E20" i="15"/>
  <c r="D17" i="15"/>
  <c r="F17" i="15"/>
  <c r="I26" i="15" s="1"/>
  <c r="Y13" i="80"/>
  <c r="L8" i="75"/>
  <c r="C20" i="15"/>
  <c r="G20" i="36"/>
  <c r="J11" i="93" l="1"/>
  <c r="J24" i="93"/>
  <c r="K21" i="21"/>
  <c r="G20" i="30"/>
  <c r="X12" i="80"/>
  <c r="Y12" i="80"/>
  <c r="W12" i="80"/>
  <c r="G18" i="86" s="1"/>
  <c r="P12" i="80"/>
  <c r="E28" i="93"/>
  <c r="M8" i="78"/>
  <c r="K42" i="78"/>
  <c r="G87" i="12"/>
  <c r="U35" i="44"/>
  <c r="D26" i="45"/>
  <c r="R19" i="79"/>
  <c r="S19" i="79" s="1"/>
  <c r="AD43" i="55"/>
  <c r="AD44" i="55" s="1"/>
  <c r="P25" i="80"/>
  <c r="W25" i="80"/>
  <c r="X25" i="80"/>
  <c r="B24" i="10"/>
  <c r="D24" i="10" s="1"/>
  <c r="G24" i="10" s="1"/>
  <c r="S20" i="30"/>
  <c r="E20" i="22"/>
  <c r="I20" i="38" s="1"/>
  <c r="E88" i="46"/>
  <c r="AC44" i="50"/>
  <c r="AC44" i="54"/>
  <c r="J42" i="78"/>
  <c r="L8" i="78"/>
  <c r="V8" i="55"/>
  <c r="F7" i="56" s="1"/>
  <c r="Z8" i="50"/>
  <c r="V8" i="54"/>
  <c r="V8" i="53"/>
  <c r="V8" i="52"/>
  <c r="V8" i="51"/>
  <c r="D15" i="45"/>
  <c r="AC44" i="51"/>
  <c r="K19" i="21"/>
  <c r="P14" i="67"/>
  <c r="P31" i="67" s="1"/>
  <c r="AE20" i="30"/>
  <c r="AE20" i="38"/>
  <c r="J88" i="46"/>
  <c r="B51" i="63"/>
  <c r="H5" i="64"/>
  <c r="B51" i="64"/>
  <c r="H51" i="64" s="1"/>
  <c r="H88" i="46"/>
  <c r="D88" i="46"/>
  <c r="P28" i="92"/>
  <c r="I33" i="43"/>
  <c r="I39" i="43" s="1"/>
  <c r="H39" i="43"/>
  <c r="E33" i="43"/>
  <c r="I37" i="43" s="1"/>
  <c r="H37" i="43"/>
  <c r="W35" i="44"/>
  <c r="B85" i="12"/>
  <c r="B23" i="10"/>
  <c r="D23" i="10" s="1"/>
  <c r="G23" i="10" s="1"/>
  <c r="V19" i="77"/>
  <c r="Z19" i="79"/>
  <c r="Y19" i="79"/>
  <c r="AC20" i="38"/>
  <c r="AC20" i="30"/>
  <c r="K18" i="21"/>
  <c r="P13" i="67"/>
  <c r="E22" i="10"/>
  <c r="J19" i="10" s="1"/>
  <c r="T19" i="79"/>
  <c r="B21" i="10"/>
  <c r="D21" i="10" s="1"/>
  <c r="G21" i="10" s="1"/>
  <c r="B20" i="10"/>
  <c r="C26" i="10"/>
  <c r="P7" i="67"/>
  <c r="P23" i="67" s="1"/>
  <c r="K11" i="21"/>
  <c r="Q20" i="38"/>
  <c r="Q20" i="30"/>
  <c r="K10" i="21"/>
  <c r="O20" i="30"/>
  <c r="O20" i="38"/>
  <c r="P6" i="67"/>
  <c r="P22" i="67" s="1"/>
  <c r="B14" i="10"/>
  <c r="D14" i="10" s="1"/>
  <c r="G14" i="10" s="1"/>
  <c r="I20" i="30"/>
  <c r="S19" i="77"/>
  <c r="W19" i="79"/>
  <c r="P5" i="67"/>
  <c r="M20" i="30"/>
  <c r="M20" i="38"/>
  <c r="K9" i="21"/>
  <c r="B13" i="10"/>
  <c r="D13" i="10" s="1"/>
  <c r="G13" i="10" s="1"/>
  <c r="B12" i="10"/>
  <c r="C17" i="10"/>
  <c r="G72" i="41"/>
  <c r="G20" i="38"/>
  <c r="K13" i="74"/>
  <c r="P13" i="74" s="1"/>
  <c r="P8" i="74"/>
  <c r="D20" i="45"/>
  <c r="F34" i="45"/>
  <c r="L34" i="45"/>
  <c r="C35" i="45"/>
  <c r="T34" i="45"/>
  <c r="H34" i="45"/>
  <c r="P34" i="45"/>
  <c r="F35" i="45"/>
  <c r="J27" i="93"/>
  <c r="J12" i="93"/>
  <c r="J20" i="93"/>
  <c r="J21" i="93"/>
  <c r="J16" i="93"/>
  <c r="J25" i="93"/>
  <c r="J19" i="93"/>
  <c r="J23" i="93"/>
  <c r="J15" i="93"/>
  <c r="J26" i="93"/>
  <c r="J22" i="93"/>
  <c r="J17" i="93"/>
  <c r="J18" i="93"/>
  <c r="J14" i="93"/>
  <c r="J13" i="93"/>
  <c r="J10" i="93"/>
  <c r="K67" i="39"/>
  <c r="K69" i="39"/>
  <c r="K71" i="39"/>
  <c r="K73" i="39"/>
  <c r="K75" i="39"/>
  <c r="K77" i="39"/>
  <c r="K68" i="39"/>
  <c r="K70" i="39"/>
  <c r="K72" i="39"/>
  <c r="K74" i="39"/>
  <c r="K76" i="39"/>
  <c r="H70" i="72"/>
  <c r="H49" i="72"/>
  <c r="H78" i="72" s="1"/>
  <c r="H99" i="46"/>
  <c r="D99" i="46"/>
  <c r="C99" i="46"/>
  <c r="G99" i="46"/>
  <c r="E99" i="46"/>
  <c r="I99" i="46"/>
  <c r="J99" i="46"/>
  <c r="P25" i="67"/>
  <c r="H22" i="67"/>
  <c r="P27" i="67" s="1"/>
  <c r="C14" i="102"/>
  <c r="D14" i="102" s="1"/>
  <c r="AK28" i="57"/>
  <c r="H11" i="67"/>
  <c r="C6" i="102"/>
  <c r="D20" i="15"/>
  <c r="F20" i="15"/>
  <c r="AB7" i="57"/>
  <c r="AI7" i="57"/>
  <c r="C8" i="58" s="1"/>
  <c r="AA7" i="57"/>
  <c r="AH7" i="57"/>
  <c r="B8" i="58" s="1"/>
  <c r="C21" i="15"/>
  <c r="E87" i="12"/>
  <c r="D13" i="15"/>
  <c r="E21" i="15"/>
  <c r="F13" i="15"/>
  <c r="AC7" i="57"/>
  <c r="AJ7" i="57"/>
  <c r="D8" i="58" s="1"/>
  <c r="N8" i="78" l="1"/>
  <c r="N42" i="78" s="1"/>
  <c r="L42" i="78"/>
  <c r="B87" i="12"/>
  <c r="Z8" i="54"/>
  <c r="Z8" i="51"/>
  <c r="AD8" i="50"/>
  <c r="Z8" i="53"/>
  <c r="Z8" i="52"/>
  <c r="Z8" i="55"/>
  <c r="J7" i="56" s="1"/>
  <c r="M42" i="78"/>
  <c r="O8" i="78"/>
  <c r="O42" i="78" s="1"/>
  <c r="O19" i="79"/>
  <c r="P19" i="79" s="1"/>
  <c r="K12" i="21"/>
  <c r="P19" i="77"/>
  <c r="R19" i="77" s="1"/>
  <c r="N7" i="56"/>
  <c r="F7" i="57"/>
  <c r="E24" i="10"/>
  <c r="J21" i="10" s="1"/>
  <c r="K88" i="46"/>
  <c r="P30" i="67"/>
  <c r="P15" i="67"/>
  <c r="W19" i="77"/>
  <c r="X19" i="77"/>
  <c r="E23" i="10"/>
  <c r="J20" i="10" s="1"/>
  <c r="E21" i="10"/>
  <c r="J18" i="10" s="1"/>
  <c r="C28" i="10"/>
  <c r="D20" i="10"/>
  <c r="B26" i="10"/>
  <c r="D26" i="10" s="1"/>
  <c r="G26" i="10" s="1"/>
  <c r="E14" i="10"/>
  <c r="J14" i="10" s="1"/>
  <c r="U19" i="77"/>
  <c r="T19" i="77"/>
  <c r="E13" i="10"/>
  <c r="J13" i="10" s="1"/>
  <c r="P21" i="67"/>
  <c r="P8" i="67"/>
  <c r="Q19" i="79"/>
  <c r="M19" i="77"/>
  <c r="D12" i="10"/>
  <c r="B17" i="10"/>
  <c r="H16" i="41"/>
  <c r="H20" i="41"/>
  <c r="H24" i="41"/>
  <c r="H28" i="41"/>
  <c r="H32" i="41"/>
  <c r="H36" i="41"/>
  <c r="H40" i="41"/>
  <c r="H44" i="41"/>
  <c r="H17" i="41"/>
  <c r="H21" i="41"/>
  <c r="H25" i="41"/>
  <c r="H29" i="41"/>
  <c r="H33" i="41"/>
  <c r="H37" i="41"/>
  <c r="H41" i="41"/>
  <c r="H45" i="41"/>
  <c r="H14" i="41"/>
  <c r="H18" i="41"/>
  <c r="H22" i="41"/>
  <c r="H26" i="41"/>
  <c r="H30" i="41"/>
  <c r="H34" i="41"/>
  <c r="H38" i="41"/>
  <c r="H42" i="41"/>
  <c r="H15" i="41"/>
  <c r="H19" i="41"/>
  <c r="H23" i="41"/>
  <c r="H27" i="41"/>
  <c r="H31" i="41"/>
  <c r="H35" i="41"/>
  <c r="H39" i="41"/>
  <c r="H43" i="41"/>
  <c r="D34" i="45"/>
  <c r="L35" i="45"/>
  <c r="H35" i="45"/>
  <c r="T35" i="45"/>
  <c r="P35" i="45"/>
  <c r="J28" i="93"/>
  <c r="K78" i="39"/>
  <c r="K99" i="46"/>
  <c r="C19" i="102"/>
  <c r="D19" i="102" s="1"/>
  <c r="D6" i="102"/>
  <c r="H28" i="67"/>
  <c r="H15" i="67"/>
  <c r="P20" i="67"/>
  <c r="D21" i="15"/>
  <c r="F21" i="15"/>
  <c r="I17" i="15" s="1"/>
  <c r="D8" i="59"/>
  <c r="D8" i="60" s="1"/>
  <c r="D8" i="61" s="1"/>
  <c r="D8" i="62" s="1"/>
  <c r="H8" i="58"/>
  <c r="F8" i="58"/>
  <c r="B8" i="59"/>
  <c r="B8" i="60" s="1"/>
  <c r="B8" i="61" s="1"/>
  <c r="B8" i="62" s="1"/>
  <c r="C8" i="59"/>
  <c r="C8" i="60" s="1"/>
  <c r="C8" i="61" s="1"/>
  <c r="C8" i="62" s="1"/>
  <c r="G8" i="58"/>
  <c r="Q19" i="77" l="1"/>
  <c r="P32" i="67"/>
  <c r="P3" i="67"/>
  <c r="V7" i="56"/>
  <c r="Z7" i="57" s="1"/>
  <c r="N7" i="57"/>
  <c r="R7" i="57"/>
  <c r="AD8" i="55"/>
  <c r="AD8" i="53"/>
  <c r="AD8" i="52"/>
  <c r="AD8" i="54"/>
  <c r="AD8" i="51"/>
  <c r="R7" i="56"/>
  <c r="V7" i="57" s="1"/>
  <c r="J7" i="57"/>
  <c r="G20" i="10"/>
  <c r="E20" i="10"/>
  <c r="J17" i="10" s="1"/>
  <c r="E26" i="10"/>
  <c r="N19" i="77"/>
  <c r="O19" i="77"/>
  <c r="G12" i="10"/>
  <c r="E12" i="10"/>
  <c r="J12" i="10" s="1"/>
  <c r="D17" i="10"/>
  <c r="B28" i="10"/>
  <c r="D28" i="10" s="1"/>
  <c r="D35" i="45"/>
  <c r="H29" i="67"/>
  <c r="P19" i="67" s="1"/>
  <c r="P24" i="67"/>
  <c r="J8" i="58"/>
  <c r="F8" i="59"/>
  <c r="F8" i="60" s="1"/>
  <c r="F8" i="61" s="1"/>
  <c r="F8" i="62" s="1"/>
  <c r="G8" i="59"/>
  <c r="G8" i="60" s="1"/>
  <c r="G8" i="61" s="1"/>
  <c r="G8" i="62" s="1"/>
  <c r="K8" i="58"/>
  <c r="H8" i="59"/>
  <c r="H8" i="60" s="1"/>
  <c r="H8" i="61" s="1"/>
  <c r="H8" i="62" s="1"/>
  <c r="L8" i="58"/>
  <c r="AD7" i="57" l="1"/>
  <c r="AK7" i="57"/>
  <c r="E8" i="58" s="1"/>
  <c r="G17" i="10"/>
  <c r="E17" i="10"/>
  <c r="G28" i="10"/>
  <c r="E28" i="10"/>
  <c r="N8" i="58"/>
  <c r="J8" i="59"/>
  <c r="J8" i="60" s="1"/>
  <c r="J8" i="61" s="1"/>
  <c r="J8" i="62" s="1"/>
  <c r="L8" i="59"/>
  <c r="L8" i="60" s="1"/>
  <c r="L8" i="61" s="1"/>
  <c r="L8" i="62" s="1"/>
  <c r="P8" i="58"/>
  <c r="S8" i="58" s="1"/>
  <c r="K8" i="59"/>
  <c r="K8" i="60" s="1"/>
  <c r="K8" i="61" s="1"/>
  <c r="K8" i="62" s="1"/>
  <c r="O8" i="58"/>
  <c r="R8" i="58" s="1"/>
  <c r="E8" i="59" l="1"/>
  <c r="E8" i="60" s="1"/>
  <c r="E8" i="61" s="1"/>
  <c r="E8" i="62" s="1"/>
  <c r="I8" i="58"/>
  <c r="U8" i="58"/>
  <c r="AC8" i="58"/>
  <c r="AC8" i="59" s="1"/>
  <c r="AC8" i="60" s="1"/>
  <c r="AC8" i="61" s="1"/>
  <c r="AC8" i="62" s="1"/>
  <c r="N8" i="59"/>
  <c r="N8" i="60" s="1"/>
  <c r="N8" i="61" s="1"/>
  <c r="N8" i="62" s="1"/>
  <c r="O8" i="59"/>
  <c r="V8" i="58"/>
  <c r="AD8" i="58"/>
  <c r="AD8" i="59" s="1"/>
  <c r="AD8" i="60" s="1"/>
  <c r="AD8" i="61" s="1"/>
  <c r="AD8" i="62" s="1"/>
  <c r="P8" i="59"/>
  <c r="S8" i="59" s="1"/>
  <c r="W8" i="58"/>
  <c r="AE8" i="58"/>
  <c r="AE8" i="59" s="1"/>
  <c r="AE8" i="60" s="1"/>
  <c r="AE8" i="61" s="1"/>
  <c r="AE8" i="62" s="1"/>
  <c r="I8" i="59" l="1"/>
  <c r="I8" i="60" s="1"/>
  <c r="I8" i="61" s="1"/>
  <c r="I8" i="62" s="1"/>
  <c r="M8" i="58"/>
  <c r="O8" i="60"/>
  <c r="R8" i="59"/>
  <c r="AA8" i="58"/>
  <c r="AA8" i="59" s="1"/>
  <c r="W8" i="59"/>
  <c r="W8" i="60" s="1"/>
  <c r="P8" i="60"/>
  <c r="S8" i="60" s="1"/>
  <c r="V8" i="59"/>
  <c r="V8" i="60" s="1"/>
  <c r="Z8" i="58"/>
  <c r="Z8" i="59" s="1"/>
  <c r="U8" i="59"/>
  <c r="U8" i="60" s="1"/>
  <c r="Y8" i="58"/>
  <c r="Y8" i="59" s="1"/>
  <c r="M8" i="59" l="1"/>
  <c r="M8" i="60" s="1"/>
  <c r="M8" i="61" s="1"/>
  <c r="M8" i="62" s="1"/>
  <c r="Q8" i="58"/>
  <c r="O8" i="61"/>
  <c r="R8" i="60"/>
  <c r="Y8" i="60"/>
  <c r="Y8" i="61" s="1"/>
  <c r="Y8" i="62" s="1"/>
  <c r="U8" i="61"/>
  <c r="U8" i="62" s="1"/>
  <c r="V8" i="61"/>
  <c r="V8" i="62" s="1"/>
  <c r="Z8" i="60"/>
  <c r="Z8" i="61" s="1"/>
  <c r="Z8" i="62" s="1"/>
  <c r="P8" i="61"/>
  <c r="S8" i="61" s="1"/>
  <c r="AA8" i="60"/>
  <c r="AA8" i="61" s="1"/>
  <c r="AA8" i="62" s="1"/>
  <c r="W8" i="61"/>
  <c r="W8" i="62" s="1"/>
  <c r="X8" i="58" l="1"/>
  <c r="X8" i="59" s="1"/>
  <c r="X8" i="60" s="1"/>
  <c r="AB8" i="58"/>
  <c r="AB8" i="59" s="1"/>
  <c r="Q8" i="59"/>
  <c r="AF8" i="58"/>
  <c r="AF8" i="59" s="1"/>
  <c r="AF8" i="60" s="1"/>
  <c r="AF8" i="61" s="1"/>
  <c r="AF8" i="62" s="1"/>
  <c r="T8" i="58"/>
  <c r="O8" i="62"/>
  <c r="R8" i="62" s="1"/>
  <c r="R8" i="61"/>
  <c r="P8" i="62"/>
  <c r="S8" i="62" s="1"/>
  <c r="AB8" i="60" l="1"/>
  <c r="AB8" i="61" s="1"/>
  <c r="AB8" i="62" s="1"/>
  <c r="X8" i="61"/>
  <c r="X8" i="62" s="1"/>
  <c r="Q8" i="60"/>
  <c r="T8" i="59"/>
  <c r="Q8" i="61" l="1"/>
  <c r="T8" i="60"/>
  <c r="Q8" i="62" l="1"/>
  <c r="T8" i="62" s="1"/>
  <c r="T8" i="61"/>
</calcChain>
</file>

<file path=xl/sharedStrings.xml><?xml version="1.0" encoding="utf-8"?>
<sst xmlns="http://schemas.openxmlformats.org/spreadsheetml/2006/main" count="4583" uniqueCount="1483">
  <si>
    <t>OTRA SUSTANCIA COMO DROGA PRINCIPAL</t>
  </si>
  <si>
    <t>POLICONSUMO</t>
  </si>
  <si>
    <t>TRASTORNOS DE ANSIEDAD</t>
  </si>
  <si>
    <t>ALZHEIMER Y OTRAS DEMENCIAS</t>
  </si>
  <si>
    <t>ESQUIZOFRENIA</t>
  </si>
  <si>
    <t>TRASTORNOS DE LA CONDUCTA ALIMENTARIA</t>
  </si>
  <si>
    <t>TRASTORNO HIPERCINÉTICOS, DE LA ACTIVIDAD Y DE LA ATENCION</t>
  </si>
  <si>
    <t>RETRASO MENTAL</t>
  </si>
  <si>
    <t>TRASTORNO DE PERSONALIDAD</t>
  </si>
  <si>
    <t>TRASTORNO GENERALIZADOS DEL DESARROLLO</t>
  </si>
  <si>
    <t>CONS.  Y
POSTAS</t>
  </si>
  <si>
    <t xml:space="preserve"> CONS. Nº 1 (M)</t>
  </si>
  <si>
    <t xml:space="preserve"> CONS. S. ESTEB</t>
  </si>
  <si>
    <t xml:space="preserve"> CONS. CALLE L.</t>
  </si>
  <si>
    <t>Nota:  Pob.  Menor  de  20  años</t>
  </si>
  <si>
    <t>PREVENTIVAS  menores  de  20  años</t>
  </si>
  <si>
    <t>TASA  PREVENCION*  ODONTOLOGICA  EN  USUARIOS  DEL  SISTEMA  HABITANTE  AÑO 
EN  MENORES    20  AÑOS    ATENCION  PRIMARIA</t>
  </si>
  <si>
    <t xml:space="preserve">SERVICIO SALUD  ACONCAGUA  </t>
  </si>
  <si>
    <t>CONSULTORIOS
 Y  POSTAS</t>
  </si>
  <si>
    <t>*Nota  :  Prevención  considera las  acciones  de  :</t>
  </si>
  <si>
    <t xml:space="preserve">           -  Aplicación  de  sellante</t>
  </si>
  <si>
    <t xml:space="preserve">           -  Fluoración  tópica</t>
  </si>
  <si>
    <t xml:space="preserve">           -  Pulido  coronario</t>
  </si>
  <si>
    <t xml:space="preserve">           -  Pulpotomia </t>
  </si>
  <si>
    <t>ATENCIONES DE URGENCIA  SEGUN ESTABLECIMIENTOS</t>
  </si>
  <si>
    <t>E S T A B L E C I M I E N T O S</t>
  </si>
  <si>
    <t xml:space="preserve"> FUNCIONARIO</t>
  </si>
  <si>
    <t xml:space="preserve"> GRUPO</t>
  </si>
  <si>
    <t>H. SAN  FELIPE</t>
  </si>
  <si>
    <t>H. LOS ANDES</t>
  </si>
  <si>
    <t>H. LLAY- LLAY</t>
  </si>
  <si>
    <t>H. PUTAENDO</t>
  </si>
  <si>
    <t>SAPU
L.ANDES</t>
  </si>
  <si>
    <t>SAPU
S. FELIPE</t>
  </si>
  <si>
    <t xml:space="preserve"> INFANTIL</t>
  </si>
  <si>
    <t xml:space="preserve"> ADOLESCENTE</t>
  </si>
  <si>
    <t xml:space="preserve"> MUJER</t>
  </si>
  <si>
    <t xml:space="preserve"> ADULTO</t>
  </si>
  <si>
    <t xml:space="preserve"> ADULTO MAYOR</t>
  </si>
  <si>
    <t xml:space="preserve"> ENFERMERA</t>
  </si>
  <si>
    <t xml:space="preserve"> MATRONA</t>
  </si>
  <si>
    <t xml:space="preserve"> AUXILIAR</t>
  </si>
  <si>
    <t xml:space="preserve">INDICE  CONSULTA MEDICA  DE URGENCIA </t>
  </si>
  <si>
    <t xml:space="preserve">SERVICIO DE SALUD   ACONCAGUA    </t>
  </si>
  <si>
    <t>CONSULTAS MEDICAS</t>
  </si>
  <si>
    <t>INDICE DE CONSULTA</t>
  </si>
  <si>
    <t>ATENCIONES MEDICAS DE URGENCIA  SEGUN ESTABLECIMIENTOS</t>
  </si>
  <si>
    <t>HOSP. SAN  FELIPE</t>
  </si>
  <si>
    <t>H.SAN CAMILO</t>
  </si>
  <si>
    <t>HOSP. LOS  ANDES</t>
  </si>
  <si>
    <t>H.LOS ANDES</t>
  </si>
  <si>
    <t>HOSP. LLAY  LLAY</t>
  </si>
  <si>
    <t>H.LLAY-LLAY</t>
  </si>
  <si>
    <t>HOSP. PSIQUIATRICO</t>
  </si>
  <si>
    <t>H.PSIQ.</t>
  </si>
  <si>
    <t>HOSP.  PUTAENDO</t>
  </si>
  <si>
    <t>SAPU  SAN  FELIPE</t>
  </si>
  <si>
    <t>SAPU S.F.</t>
  </si>
  <si>
    <t>SAPU  LOS  ANDES</t>
  </si>
  <si>
    <t>SAPU L.A.</t>
  </si>
  <si>
    <t>CONS. MUNICIPALES</t>
  </si>
  <si>
    <t>MUNIC.</t>
  </si>
  <si>
    <t>INTERVENCIONES  QUIRURGICAS  ELECTIVAS  Y   URGENCIAS</t>
  </si>
  <si>
    <t xml:space="preserve">  INTERVENCIONES
  QUIRURGICAS</t>
  </si>
  <si>
    <t>HOSP. SAN
 FELIPE</t>
  </si>
  <si>
    <t>HOSP. LOS
ANDES</t>
  </si>
  <si>
    <t>HOSP. 
PSIQUIA.</t>
  </si>
  <si>
    <t>D.A.P.</t>
  </si>
  <si>
    <t xml:space="preserve"> ELECTIVAS MAYORES</t>
  </si>
  <si>
    <t>CON MÉDICOS EN HORARIO NORMAL</t>
  </si>
  <si>
    <t xml:space="preserve"> NO AMBULATORIAS</t>
  </si>
  <si>
    <t>CON MÉDICOS A HONORARIOS U OTRA MODALIDAD</t>
  </si>
  <si>
    <t xml:space="preserve"> AMBULATORIAS</t>
  </si>
  <si>
    <t>URGENCIAS</t>
  </si>
  <si>
    <t>NO AMBULATORIAS  MAYORES</t>
  </si>
  <si>
    <t>MAYOR AMBULATORIAS</t>
  </si>
  <si>
    <t>MENORES</t>
  </si>
  <si>
    <t xml:space="preserve"> MENORES</t>
  </si>
  <si>
    <t>PERFIL DE INTERVENCIONES  QUIRURGICAS</t>
  </si>
  <si>
    <t>MAYORES  ELECTIVAS Y URGENCIAS</t>
  </si>
  <si>
    <t>SERVICIO  DE  SALUD   ACONCAGUA</t>
  </si>
  <si>
    <t>SERVICIO DE SALUD</t>
  </si>
  <si>
    <t>HOSP. SAN CAMILO</t>
  </si>
  <si>
    <t>ELECTIVA</t>
  </si>
  <si>
    <t>POB.</t>
  </si>
  <si>
    <t>T/E</t>
  </si>
  <si>
    <t>T/U</t>
  </si>
  <si>
    <t xml:space="preserve">                            </t>
  </si>
  <si>
    <t>POR  ESTABLECIMIENTOS</t>
  </si>
  <si>
    <t xml:space="preserve">  INTERVENCIONES</t>
  </si>
  <si>
    <t>HOSP. PUTAENDO</t>
  </si>
  <si>
    <t>A.  PRIMARIA</t>
  </si>
  <si>
    <t xml:space="preserve"> CIR. OFTALMICA</t>
  </si>
  <si>
    <t xml:space="preserve"> CIR. OTORRINOLOGICA</t>
  </si>
  <si>
    <t xml:space="preserve"> CIR. DE LA CABEZA Y CUELLO</t>
  </si>
  <si>
    <t xml:space="preserve"> CIR. PLASTICA Y REPARAD.</t>
  </si>
  <si>
    <t xml:space="preserve"> TEGUMENTOS</t>
  </si>
  <si>
    <t xml:space="preserve"> CIR. CARDIOVASCULAR</t>
  </si>
  <si>
    <t xml:space="preserve"> CIR. TORAXICA</t>
  </si>
  <si>
    <t xml:space="preserve"> CIR. ABDOMINAL</t>
  </si>
  <si>
    <t xml:space="preserve"> CIR. PROCTOLOGICA</t>
  </si>
  <si>
    <t xml:space="preserve"> CIR. UROLOGICA Y SUP.</t>
  </si>
  <si>
    <t xml:space="preserve"> CIR. DE LA MAMA</t>
  </si>
  <si>
    <t xml:space="preserve"> CIR. GINECOLOGICA</t>
  </si>
  <si>
    <t xml:space="preserve"> CIR. OBSTETRICA</t>
  </si>
  <si>
    <t xml:space="preserve"> TRAUMATOLOGIA Y ORTOP.</t>
  </si>
  <si>
    <t xml:space="preserve"> ODONTOLOGIA</t>
  </si>
  <si>
    <t xml:space="preserve"> RETIRO ELEMENTOS OSTEO.</t>
  </si>
  <si>
    <t xml:space="preserve"> T O T A L   INT.  QUIR.</t>
  </si>
  <si>
    <t xml:space="preserve"> ABREU</t>
  </si>
  <si>
    <t xml:space="preserve"> ANESTESIA  EPIDURAL</t>
  </si>
  <si>
    <t xml:space="preserve"> CUR. SIMPLE  AMBULATORIA</t>
  </si>
  <si>
    <t>PROCEDIMIENTO DE PODOLOGÍA</t>
  </si>
  <si>
    <t xml:space="preserve"> AUTOCUIDADO PACIEN. DID</t>
  </si>
  <si>
    <t xml:space="preserve"> OXIGENOTERAPIA DOMICILIO</t>
  </si>
  <si>
    <t xml:space="preserve"> SUB- TOTAL  LABORATORIO</t>
  </si>
  <si>
    <t xml:space="preserve"> HEMATOLOGICOS</t>
  </si>
  <si>
    <t xml:space="preserve"> BIOQUIMICOS</t>
  </si>
  <si>
    <t xml:space="preserve"> HORMONALES</t>
  </si>
  <si>
    <t xml:space="preserve"> INMUNOLOGICOS</t>
  </si>
  <si>
    <t xml:space="preserve"> MICROBIOLOGICOS</t>
  </si>
  <si>
    <t xml:space="preserve"> a) Bacteria  y Hongos</t>
  </si>
  <si>
    <t xml:space="preserve"> b) Parásitos</t>
  </si>
  <si>
    <t xml:space="preserve"> c) Virus</t>
  </si>
  <si>
    <t xml:space="preserve"> PROC. DE DETER. DIRECTA</t>
  </si>
  <si>
    <t xml:space="preserve"> EXA.  DE  DEPOSICIONES</t>
  </si>
  <si>
    <t xml:space="preserve"> ORINA</t>
  </si>
  <si>
    <t xml:space="preserve"> SUB- TOTAL  IMAGENOLOGIA</t>
  </si>
  <si>
    <t xml:space="preserve"> RADIOLOGICOS SIMPLES</t>
  </si>
  <si>
    <t xml:space="preserve"> RADIOLOGICOS COMPLEJOS</t>
  </si>
  <si>
    <t xml:space="preserve"> TOMOGRAFIA AXIAL  COMP.</t>
  </si>
  <si>
    <t xml:space="preserve"> ULTRASONOGRAFIA</t>
  </si>
  <si>
    <t>Cirugía de Mamas con  Patología</t>
  </si>
  <si>
    <t>Ginecología c/pat. Cerv</t>
  </si>
  <si>
    <t>Oftalmología en UAPO</t>
  </si>
  <si>
    <t>Hematología Oncológica</t>
  </si>
  <si>
    <t>VIH/SIDA</t>
  </si>
  <si>
    <t xml:space="preserve"> ECOTOMOGRAFIAS</t>
  </si>
  <si>
    <t xml:space="preserve"> SUB- TOTAL  ANAT. PATOLOG.</t>
  </si>
  <si>
    <t xml:space="preserve"> PROC.  DE  ORTOPEDIA</t>
  </si>
  <si>
    <t xml:space="preserve"> HEMODIALISIS CON BICARBONATO MENSUAL</t>
  </si>
  <si>
    <t xml:space="preserve"> HEMODIALISIS CON BICARBONATO  SESIÓN</t>
  </si>
  <si>
    <t xml:space="preserve"> EXAMENES  DE LABORATORIO E IMAGENOLOGIA  SEGUN AÑOS Y ESTABLECIMIENTOS</t>
  </si>
  <si>
    <t>(tasa x 100Hbs.)</t>
  </si>
  <si>
    <t>LABORATORIO  A.P.</t>
  </si>
  <si>
    <t>E.DIAG</t>
  </si>
  <si>
    <t>IMAG</t>
  </si>
  <si>
    <t>T/D</t>
  </si>
  <si>
    <t>T/ I</t>
  </si>
  <si>
    <r>
      <t xml:space="preserve">  SIMPLE     </t>
    </r>
    <r>
      <rPr>
        <sz val="8"/>
        <rFont val="Arial"/>
        <family val="2"/>
      </rPr>
      <t xml:space="preserve"> </t>
    </r>
  </si>
  <si>
    <r>
      <t xml:space="preserve"> </t>
    </r>
    <r>
      <rPr>
        <sz val="8"/>
        <rFont val="Arial"/>
        <family val="2"/>
      </rPr>
      <t>EUTOCICO</t>
    </r>
  </si>
  <si>
    <r>
      <t xml:space="preserve"> NO  PROF. (</t>
    </r>
    <r>
      <rPr>
        <sz val="6"/>
        <rFont val="Arial"/>
        <family val="2"/>
      </rPr>
      <t xml:space="preserve">FUERA  DE SERV. </t>
    </r>
    <r>
      <rPr>
        <sz val="8"/>
        <rFont val="Arial"/>
        <family val="2"/>
      </rPr>
      <t>)</t>
    </r>
  </si>
  <si>
    <t>CONSOLIDADO EGRESOS HOSPITALARIOS</t>
  </si>
  <si>
    <t xml:space="preserve">         MOVIMIENTO      DE        HOSPITALIZADOS</t>
  </si>
  <si>
    <t>INGRESO-EGRESO</t>
  </si>
  <si>
    <t xml:space="preserve">     DIAS DE CAMA   </t>
  </si>
  <si>
    <t xml:space="preserve">  DIAS DE EGRESADOS</t>
  </si>
  <si>
    <t xml:space="preserve">    INDICADORES</t>
  </si>
  <si>
    <t>SERVICIOS</t>
  </si>
  <si>
    <t>EXIS.</t>
  </si>
  <si>
    <t>INGRESOS</t>
  </si>
  <si>
    <t xml:space="preserve">     EGRESOS</t>
  </si>
  <si>
    <t>CLINICOS</t>
  </si>
  <si>
    <t>Nº DE 
CAMAS</t>
  </si>
  <si>
    <t>MES
ANTER.</t>
  </si>
  <si>
    <t>CAE</t>
  </si>
  <si>
    <t>OTROS
HOSP.</t>
  </si>
  <si>
    <t>OTRA
PROC.</t>
  </si>
  <si>
    <t>ALTA
HOGAR</t>
  </si>
  <si>
    <t>TRASL
O SERV.</t>
  </si>
  <si>
    <t>FALLEC</t>
  </si>
  <si>
    <t>MES
SIGUEN</t>
  </si>
  <si>
    <t>MISMO DIA</t>
  </si>
  <si>
    <t xml:space="preserve">   EN  
TRABAJO </t>
  </si>
  <si>
    <t>OCUPAD</t>
  </si>
  <si>
    <t>BENEF</t>
  </si>
  <si>
    <t>%
OCUP.</t>
  </si>
  <si>
    <t>X DIAS
EST.</t>
  </si>
  <si>
    <t>ROTACION</t>
  </si>
  <si>
    <t>SUSTI-
TUCION</t>
  </si>
  <si>
    <t xml:space="preserve"> MATERNIDAD</t>
  </si>
  <si>
    <t xml:space="preserve"> R.N. CUNA</t>
  </si>
  <si>
    <t xml:space="preserve"> U.C.I. NEONATAL</t>
  </si>
  <si>
    <t xml:space="preserve"> U.C.I. ADUL</t>
  </si>
  <si>
    <t xml:space="preserve"> U.T.I. ADUL</t>
  </si>
  <si>
    <t xml:space="preserve"> PENSIONADO</t>
  </si>
  <si>
    <t>CESFAM  RURAL</t>
  </si>
  <si>
    <t>CESFAM  URBANO</t>
  </si>
  <si>
    <t>Nota : Indice  de  rotación  es  promedio  mensual</t>
  </si>
  <si>
    <t>EGRESOS HOSPITAL      SAN   FELIPE</t>
  </si>
  <si>
    <t>EGRESOS  HOSPITAL      LOS  ANDES</t>
  </si>
  <si>
    <t>EGRESOS HOSPITAL      LLAY  LLAY</t>
  </si>
  <si>
    <t>EGRESOS   HOSPITAL     PUTAENDO</t>
  </si>
  <si>
    <t>EGRESOS HOSPITAL      PSIQUIATRICO</t>
  </si>
  <si>
    <t xml:space="preserve">   P.CORTA  EST.</t>
  </si>
  <si>
    <t xml:space="preserve">   P.MEDIA  EST.</t>
  </si>
  <si>
    <t xml:space="preserve">   CRONICOS</t>
  </si>
  <si>
    <t xml:space="preserve">   UNIDAD EMERGENCIA</t>
  </si>
  <si>
    <t xml:space="preserve">   FOR. MED. COM.</t>
  </si>
  <si>
    <t xml:space="preserve">   FOR. ALT.. COM.</t>
  </si>
  <si>
    <t xml:space="preserve">   U.E.  ( UEPI)</t>
  </si>
  <si>
    <t xml:space="preserve">   PENSIONADO</t>
  </si>
  <si>
    <t>EGRESOS HOSPITALARIOS  INDICE OCUPACIONAL Y  PROMEDIO DIAS ESTADA</t>
  </si>
  <si>
    <t>CONSOLIDADO SERVICIO SALUD</t>
  </si>
  <si>
    <t xml:space="preserve">DOTACIÓN </t>
  </si>
  <si>
    <t xml:space="preserve">PROMEDIO </t>
  </si>
  <si>
    <t>INDICE</t>
  </si>
  <si>
    <t>PROM.</t>
  </si>
  <si>
    <t>DE  CAMAS</t>
  </si>
  <si>
    <t>EGRESOS</t>
  </si>
  <si>
    <t>OCUPACIONAL</t>
  </si>
  <si>
    <t>DIA  ESTAD.</t>
  </si>
  <si>
    <t>HOSPITAL   SAN FELIPE</t>
  </si>
  <si>
    <t>HOSPITAL   LOS  ANDES</t>
  </si>
  <si>
    <t xml:space="preserve">HOSPITAL   LLAY  LLAY  </t>
  </si>
  <si>
    <t>HOSPITAL   PUTAENDO</t>
  </si>
  <si>
    <t xml:space="preserve">HOSPITAL   PSIQUIATRICO </t>
  </si>
  <si>
    <t>TOTAL  EGRESOS HOSPITALARIOS POR GRUPO DE CAUSAS SEGUN COMUNAS</t>
  </si>
  <si>
    <t>D50 - D90</t>
  </si>
  <si>
    <t xml:space="preserve"> ENF. DE LA SANGRE Y ORG. HEMA</t>
  </si>
  <si>
    <t>F00 - F99</t>
  </si>
  <si>
    <t xml:space="preserve"> TRASTORNOS MENTALES</t>
  </si>
  <si>
    <t>G00 - G99</t>
  </si>
  <si>
    <t xml:space="preserve"> SIST. NERVIOSO Y ORG. SENTIDO</t>
  </si>
  <si>
    <t>H00 - H99</t>
  </si>
  <si>
    <t xml:space="preserve"> ENF. DEL OJO Y SUS ANEXOS</t>
  </si>
  <si>
    <t>L00 - L99</t>
  </si>
  <si>
    <t xml:space="preserve"> ENF. PIEL Y TEJIDO CELULAR</t>
  </si>
  <si>
    <t>M00 - M99</t>
  </si>
  <si>
    <t xml:space="preserve"> ENF. SIST. OSTEOMUSCULAR</t>
  </si>
  <si>
    <t>O00 - O99</t>
  </si>
  <si>
    <t xml:space="preserve"> EMB. PARTO  Y PUERPERIO</t>
  </si>
  <si>
    <t xml:space="preserve"> TRAUMAT.   ENVENENAMIENTO
 Y  OTRAS CAUSAS  EXTERNAS</t>
  </si>
  <si>
    <t>TOTAL  EGRESOS HOSPITALARIOS POR GRUPO DE CAUSAS SEGUN GRUPOS  ETAREOS</t>
  </si>
  <si>
    <t>TOTAL  EGRESOS HOSPITALARIOS POR GRUPO DE CAUSAS SEGUN ESTABLECIMIENTOS</t>
  </si>
  <si>
    <t xml:space="preserve">H O S P I T A L E S </t>
  </si>
  <si>
    <t>% SEGUN</t>
  </si>
  <si>
    <t>PATOLOGIA</t>
  </si>
  <si>
    <t>HOSPITAL  SAN FELIPE</t>
  </si>
  <si>
    <t xml:space="preserve">  </t>
  </si>
  <si>
    <t>HOSPITAL  LLAY LLAY</t>
  </si>
  <si>
    <t>HOSPITAL  PUTAENDO</t>
  </si>
  <si>
    <t>HOSPITAL  PSIQUIATRICO</t>
  </si>
  <si>
    <r>
      <t>INTERNO</t>
    </r>
    <r>
      <rPr>
        <sz val="8"/>
        <rFont val="Arial"/>
        <family val="2"/>
      </rPr>
      <t xml:space="preserve">
HOSP.</t>
    </r>
  </si>
  <si>
    <t>ANEXOS</t>
  </si>
  <si>
    <t>G L O S A R I O</t>
  </si>
  <si>
    <r>
      <t xml:space="preserve">Aborto </t>
    </r>
    <r>
      <rPr>
        <sz val="10"/>
        <rFont val="Arial"/>
        <family val="2"/>
      </rPr>
      <t xml:space="preserve">                                         =  </t>
    </r>
  </si>
  <si>
    <t>Interrupción del  embarazo  antes  de  que  el  feto  haya  llegado  a  un  
estado en  que  sea  viable,(pueda vivir) generalmente  antes  de  las 20 
semanas  de gestación.</t>
  </si>
  <si>
    <r>
      <t xml:space="preserve">Cama ocupada </t>
    </r>
    <r>
      <rPr>
        <sz val="10"/>
        <rFont val="Arial"/>
        <family val="2"/>
      </rPr>
      <t xml:space="preserve">                           =   </t>
    </r>
  </si>
  <si>
    <t>Es aquella en que un paciente está  hospitalizado.</t>
  </si>
  <si>
    <r>
      <t>Camas  Disponibles</t>
    </r>
    <r>
      <rPr>
        <sz val="10"/>
        <rFont val="Arial"/>
        <family val="2"/>
      </rPr>
      <t xml:space="preserve">                     = </t>
    </r>
  </si>
  <si>
    <t xml:space="preserve"> El total de la capacidad instalada en un Servicio de Hospitalización.</t>
  </si>
  <si>
    <r>
      <t>Camas ocupadas</t>
    </r>
    <r>
      <rPr>
        <sz val="10"/>
        <rFont val="Arial"/>
        <family val="2"/>
      </rPr>
      <t xml:space="preserve">                         =   </t>
    </r>
  </si>
  <si>
    <t>El total de pacientes hospitalizados en un día o período.</t>
  </si>
  <si>
    <r>
      <t xml:space="preserve">Camilla de Observación              </t>
    </r>
    <r>
      <rPr>
        <sz val="10"/>
        <rFont val="Arial"/>
        <family val="2"/>
      </rPr>
      <t xml:space="preserve">= </t>
    </r>
  </si>
  <si>
    <t xml:space="preserve">Es aquella en que el paciente permanece en observación, sin dar  origen a  hospitalización </t>
  </si>
  <si>
    <t xml:space="preserve">Crecimiento Vejetativo                = </t>
  </si>
  <si>
    <t>Diferencia entre los nacimientos  menos las defunciones dividido por la población  multiplicado por 100.</t>
  </si>
  <si>
    <r>
      <t xml:space="preserve">Días  camas  disponibles            </t>
    </r>
    <r>
      <rPr>
        <sz val="10"/>
        <rFont val="Arial"/>
        <family val="2"/>
      </rPr>
      <t xml:space="preserve"> =  </t>
    </r>
  </si>
  <si>
    <t xml:space="preserve">El producto que se obtiene multiplicando el total de camas disponibles  por  el  total  de días de  un  período                                                                                                                      </t>
  </si>
  <si>
    <r>
      <t>Días camas ocupados</t>
    </r>
    <r>
      <rPr>
        <sz val="10"/>
        <rFont val="Arial"/>
        <family val="2"/>
      </rPr>
      <t xml:space="preserve">                  =  </t>
    </r>
  </si>
  <si>
    <t>El total de camas ocupadas en un día  o en un período.</t>
  </si>
  <si>
    <r>
      <t>Egreso</t>
    </r>
    <r>
      <rPr>
        <sz val="10"/>
        <rFont val="Arial"/>
        <family val="2"/>
      </rPr>
      <t xml:space="preserve">                                          =  </t>
    </r>
  </si>
  <si>
    <t xml:space="preserve"> Paciente  que habiendo estado hospitalizado es dado de alta , vivo o fallecido.</t>
  </si>
  <si>
    <t xml:space="preserve">I. Prevención específico              = </t>
  </si>
  <si>
    <r>
      <t xml:space="preserve"> </t>
    </r>
    <r>
      <rPr>
        <sz val="10"/>
        <rFont val="Arial"/>
        <family val="2"/>
      </rPr>
      <t>Actividades de prevención dividido por el total de actividades.</t>
    </r>
  </si>
  <si>
    <t xml:space="preserve">Indice  de vejez                           = </t>
  </si>
  <si>
    <r>
      <t xml:space="preserve"> </t>
    </r>
    <r>
      <rPr>
        <sz val="10"/>
        <rFont val="Arial"/>
        <family val="2"/>
      </rPr>
      <t>Población  mayor  de 65 años dividido por población  menor de 15 años</t>
    </r>
  </si>
  <si>
    <r>
      <t xml:space="preserve">Índice  Ocupacional </t>
    </r>
    <r>
      <rPr>
        <sz val="10"/>
        <rFont val="Arial"/>
        <family val="2"/>
      </rPr>
      <t xml:space="preserve">                   =  </t>
    </r>
  </si>
  <si>
    <t xml:space="preserve"> Es  el grado de uso de la capacidad instalada.</t>
  </si>
  <si>
    <t>Indice de Swaroop                      =</t>
  </si>
  <si>
    <t>HEPATITIS C</t>
  </si>
  <si>
    <t>COLERA</t>
  </si>
  <si>
    <t>MENINGITIS LISTERIANA</t>
  </si>
  <si>
    <t>INFLUENZA    b</t>
  </si>
  <si>
    <t>ENF. MENINGO (BACTE)</t>
  </si>
  <si>
    <t>MENINGITIS BACTERIANAS NO</t>
  </si>
  <si>
    <t>SARAMPION</t>
  </si>
  <si>
    <t>ENF.  CHAGAS</t>
  </si>
  <si>
    <t>FIEBRE  AMARILLA</t>
  </si>
  <si>
    <t>ENF. CREUTZFELD-JACOB</t>
  </si>
  <si>
    <r>
      <t xml:space="preserve"> </t>
    </r>
    <r>
      <rPr>
        <sz val="10"/>
        <rFont val="Arial"/>
        <family val="2"/>
      </rPr>
      <t>Porcentaje  de defunciones  ocurridas en  personas  de  50  años  
 y  más respecto  del  total  de  defunciones.</t>
    </r>
  </si>
  <si>
    <t xml:space="preserve">Índice o número índice                = </t>
  </si>
  <si>
    <t xml:space="preserve">Es un cociente obtenido por comparación de valores sucesivos  que  miden  
un fenómeno que  transcurre a  través  del  tiempo  y  multiplicado  por  100 </t>
  </si>
  <si>
    <r>
      <t xml:space="preserve">Intervalo de Sustitución </t>
    </r>
    <r>
      <rPr>
        <sz val="10"/>
        <rFont val="Arial"/>
        <family val="2"/>
      </rPr>
      <t xml:space="preserve">              = </t>
    </r>
  </si>
  <si>
    <t xml:space="preserve"> Es el número de días que, en promedio, cada cama disponible
 permanece desocupada  entre  el  alta de  un paciente  y  el 
 ingreso  de  otro. </t>
  </si>
  <si>
    <t xml:space="preserve">Porcentaje o Por ciento               = </t>
  </si>
  <si>
    <t xml:space="preserve">Es una proporción  multiplicada por 100 , con el objeto de facilitar
la  comprensión  del  dato. </t>
  </si>
  <si>
    <r>
      <t>Promedio de días cama</t>
    </r>
    <r>
      <rPr>
        <sz val="10"/>
        <rFont val="Arial"/>
        <family val="2"/>
      </rPr>
      <t xml:space="preserve">               =  </t>
    </r>
  </si>
  <si>
    <t>Es el número de días que , en promedio , cada paciente  permanece  hospitalizado, en  un  período  dado.</t>
  </si>
  <si>
    <t xml:space="preserve">Proporción                                   = </t>
  </si>
  <si>
    <t xml:space="preserve">Es un cociente  que expresa la fracción que corresponde  a la ocurrencia
de  determinado fenómeno, en  realción con  la  unidad, peso  que tiene  una  parte  dentro  de  un  todo. </t>
  </si>
  <si>
    <r>
      <t xml:space="preserve">Razón                                          = </t>
    </r>
    <r>
      <rPr>
        <sz val="10"/>
        <rFont val="Arial"/>
        <family val="2"/>
      </rPr>
      <t xml:space="preserve"> </t>
    </r>
  </si>
  <si>
    <t>Fracción  en  el  cual  el  númerador   no  esta  contenido  en  el 
denominador.</t>
  </si>
  <si>
    <r>
      <t xml:space="preserve">Rotación de Egresos por cama  </t>
    </r>
    <r>
      <rPr>
        <sz val="10"/>
        <rFont val="Arial"/>
        <family val="2"/>
      </rPr>
      <t xml:space="preserve">  =</t>
    </r>
  </si>
  <si>
    <t xml:space="preserve">Es la cantidad de pacientes que , en promedio , ocupan  una  cama  disponible  en  un  período   dado. </t>
  </si>
  <si>
    <r>
      <t xml:space="preserve">Tasa                                             = </t>
    </r>
    <r>
      <rPr>
        <sz val="10"/>
        <rFont val="Arial"/>
        <family val="2"/>
      </rPr>
      <t xml:space="preserve"> </t>
    </r>
  </si>
  <si>
    <t>Es una medida  de probabilidad de ocurrencia  de un fenómeno en una
población  expuesta  al  riesgo de  sufrir el  mencionado  fenómeno.</t>
  </si>
  <si>
    <r>
      <t>Tasa de  fecundidad                    =</t>
    </r>
    <r>
      <rPr>
        <sz val="10"/>
        <rFont val="Arial"/>
        <family val="2"/>
      </rPr>
      <t xml:space="preserve"> </t>
    </r>
  </si>
  <si>
    <t xml:space="preserve">Tasa de incidencia                      = </t>
  </si>
  <si>
    <t>Riesgo de enfermedad por cualquier causa  presente  en una  población  en  un período  determinado.</t>
  </si>
  <si>
    <r>
      <t>Tasa de Mortalidad  Fetal</t>
    </r>
    <r>
      <rPr>
        <sz val="10"/>
        <rFont val="Arial"/>
        <family val="2"/>
      </rPr>
      <t xml:space="preserve">            =  </t>
    </r>
  </si>
  <si>
    <t>Número de nacidos muertos  por cada  1000 nacidos vivos</t>
  </si>
  <si>
    <r>
      <t>Tasa de Mortalidad  general</t>
    </r>
    <r>
      <rPr>
        <sz val="10"/>
        <rFont val="Arial"/>
        <family val="2"/>
      </rPr>
      <t xml:space="preserve">        = </t>
    </r>
  </si>
  <si>
    <t>Número de fallecidos  por  cada  1000 habitantes.</t>
  </si>
  <si>
    <r>
      <t xml:space="preserve">Tasa de Mortalidad Infantil </t>
    </r>
    <r>
      <rPr>
        <sz val="10"/>
        <rFont val="Arial"/>
        <family val="2"/>
      </rPr>
      <t xml:space="preserve">         =  </t>
    </r>
  </si>
  <si>
    <t>Número fallecidos menores  de 1 año por cada 1.000  nacidos    vivos.</t>
  </si>
  <si>
    <r>
      <t xml:space="preserve">Tasa de Mortalidad Infantil Tardía     </t>
    </r>
    <r>
      <rPr>
        <sz val="10"/>
        <rFont val="Arial"/>
        <family val="2"/>
      </rPr>
      <t xml:space="preserve">  =  </t>
    </r>
  </si>
  <si>
    <t xml:space="preserve">Número de fallecidos mayores 28 días y menores de   1  año  por  cada  1.000  nacidos  vivos. </t>
  </si>
  <si>
    <r>
      <t>Tasa de Mortalidad Materna</t>
    </r>
    <r>
      <rPr>
        <sz val="10"/>
        <rFont val="Arial"/>
        <family val="2"/>
      </rPr>
      <t xml:space="preserve">        =  </t>
    </r>
  </si>
  <si>
    <t>TRASTORNOS EMOCIONALES Y DEL COMPORTAMIENTO DE LA 
INFANCIA Y ADOLESCENCIA</t>
  </si>
  <si>
    <t>CONSUMO RIESGOSO DE ALCOHOL
 (AUDIT entre 8 y 15 puntos)</t>
  </si>
  <si>
    <t>VIOLENCIA  DE GENERO  VICTIMA</t>
  </si>
  <si>
    <t>VIOLENCIA  DE  GENERO  AGRESOR</t>
  </si>
  <si>
    <t>PRIMER EPISODIO ESQUIZOFRENIA CON OCUPACION REGULAR</t>
  </si>
  <si>
    <t>CECOF
STA. MARIA</t>
  </si>
  <si>
    <t>15 a 19 años</t>
  </si>
  <si>
    <t xml:space="preserve"> CECOF Santa Maria</t>
  </si>
  <si>
    <t xml:space="preserve">Número de mujeres fallecidas ,embarazadas y en período perinatal(hasta 40 días) por cada  1.000 nacidos  vivos.  </t>
  </si>
  <si>
    <r>
      <t xml:space="preserve">Tasa de Mortalidad Neonatal      </t>
    </r>
    <r>
      <rPr>
        <sz val="10"/>
        <rFont val="Arial"/>
        <family val="2"/>
      </rPr>
      <t xml:space="preserve">=  </t>
    </r>
  </si>
  <si>
    <t>Número de fallecidos menores de 28 días por cada   1.000   nacidos  vivos.</t>
  </si>
  <si>
    <r>
      <t>Tasa de Mortalidad Neonatal Precoz</t>
    </r>
    <r>
      <rPr>
        <sz val="10"/>
        <rFont val="Arial"/>
        <family val="2"/>
      </rPr>
      <t xml:space="preserve">  = </t>
    </r>
  </si>
  <si>
    <t>Número de fallecidos menores de 7 días por cada 1.000  nacidos  vivos.</t>
  </si>
  <si>
    <r>
      <t>Tasa de Mortalidad Perinatal</t>
    </r>
    <r>
      <rPr>
        <sz val="10"/>
        <rFont val="Arial"/>
        <family val="2"/>
      </rPr>
      <t xml:space="preserve">      = </t>
    </r>
  </si>
  <si>
    <t>Nacidos muertos más fallecidos &lt; 7 días por cada 1.000  nacidos  vivos.</t>
  </si>
  <si>
    <r>
      <t xml:space="preserve">Tasa de Natalidad </t>
    </r>
    <r>
      <rPr>
        <sz val="10"/>
        <rFont val="Arial"/>
        <family val="2"/>
      </rPr>
      <t xml:space="preserve">                      = </t>
    </r>
  </si>
  <si>
    <t>Número de recién  nacidos vivos por cada  1000 habitantes.</t>
  </si>
  <si>
    <t xml:space="preserve">Tasa de prevalencia                   = </t>
  </si>
  <si>
    <t>Cecof Cerrillos</t>
  </si>
  <si>
    <t>CESFAM
LLAY LLAY</t>
  </si>
  <si>
    <t>CESFAM
CORDILLERA</t>
  </si>
  <si>
    <t>Probabilidad de encontrar enfermos de cualquier causa en una población  en  un  momento o  período  dado.</t>
  </si>
  <si>
    <t>INDICE  DE  MATERIA</t>
  </si>
  <si>
    <t>CAPITULO  I  INFORMACION  BASICA</t>
  </si>
  <si>
    <t>pág.</t>
  </si>
  <si>
    <t>1.  1.</t>
  </si>
  <si>
    <t>Mapa geográfico de la Quinta  Región ..................................................</t>
  </si>
  <si>
    <t>2.</t>
  </si>
  <si>
    <t>Mapa geográfico del Servicio de salud ..................................................</t>
  </si>
  <si>
    <t>3.</t>
  </si>
  <si>
    <t>Distancia  en Km.  entre Establecimientos............................................</t>
  </si>
  <si>
    <t>5.</t>
  </si>
  <si>
    <t>Población  urbana , rural, superficie  y  densidad....................................</t>
  </si>
  <si>
    <t>6.</t>
  </si>
  <si>
    <t>7.</t>
  </si>
  <si>
    <t>8.</t>
  </si>
  <si>
    <t>9.</t>
  </si>
  <si>
    <t>10.</t>
  </si>
  <si>
    <t>11.</t>
  </si>
  <si>
    <t>Índice de vejez por  comunas...............................................................</t>
  </si>
  <si>
    <t>12.</t>
  </si>
  <si>
    <t>Tasa de Fecundidad ...........................................................................</t>
  </si>
  <si>
    <t>13.</t>
  </si>
  <si>
    <t>14.</t>
  </si>
  <si>
    <t>15.</t>
  </si>
  <si>
    <t>CAPITULO  II  INDICADORES   BIODEMOGRAFICOS</t>
  </si>
  <si>
    <t>2.  1.</t>
  </si>
  <si>
    <t>4.</t>
  </si>
  <si>
    <t>Mortalidad por grupo de causas según  Comunas..................................</t>
  </si>
  <si>
    <t>Mortalidad por grupo de causas según  Grupos  Etáreos.........................</t>
  </si>
  <si>
    <t>16.</t>
  </si>
  <si>
    <t>Enfermedades Transmisibles...............................................................</t>
  </si>
  <si>
    <t>CAPITULO  III  ACTIVIDADES SOBRE  LAS  PERSONAS</t>
  </si>
  <si>
    <t>3.  1.</t>
  </si>
  <si>
    <t>Pobl. Inf. bajo  control según  Comunas y Localidad, calificación
 N.C.H.S.     P/E,   P/T  y  T/E  ..........................................................</t>
  </si>
  <si>
    <t>Diagnóstico nutricional  integrado  Serv. Salud  y Comunas...................</t>
  </si>
  <si>
    <t>Nacimientos  y  Partos por Establecimientos........................................</t>
  </si>
  <si>
    <t>Gráficos de partos y abortos según edad de la madre............................</t>
  </si>
  <si>
    <t>Porcentaje  de cesáreas del total de partos..........................................</t>
  </si>
  <si>
    <t>Nacidos Vivos y Muertos según Peso , atención prof. Parto por Comuna..</t>
  </si>
  <si>
    <t>Tendencia  Esterilización Femenina por  Establecimiento......................</t>
  </si>
  <si>
    <t>Consultas  y  controles   programa infantil   nivel  primario......................</t>
  </si>
  <si>
    <t>Consultas  y  controles  programa adolescente nivel  primario.................</t>
  </si>
  <si>
    <t>Consultas  y  controles  programa de la mujer  nivel  primario..................</t>
  </si>
  <si>
    <t>Consultas  y  controles  programa adulto nivel primario...........................</t>
  </si>
  <si>
    <t>Consultas  y  controles  programa adulto Mayor  nivel primario..........................</t>
  </si>
  <si>
    <t>Consolidado nivel primario....................................................................</t>
  </si>
  <si>
    <t>Consultas  Psicólogo  nivel primario...................................</t>
  </si>
  <si>
    <t>17.</t>
  </si>
  <si>
    <t>Consultas  Médicas  nivel primario...................................</t>
  </si>
  <si>
    <t>18.</t>
  </si>
  <si>
    <t>Consultas   programa infantil  nivel  secundario....................</t>
  </si>
  <si>
    <t>19.</t>
  </si>
  <si>
    <t>Consultas   programa adolescente nivel secundario..............</t>
  </si>
  <si>
    <t>20.</t>
  </si>
  <si>
    <t>Consultas   programa adulto nivel secundario........................</t>
  </si>
  <si>
    <t>21.</t>
  </si>
  <si>
    <t>Consultas   programa adulto Mayor  nivel secundario..........................</t>
  </si>
  <si>
    <t>22.</t>
  </si>
  <si>
    <t>Consolidado nivel  secundario..............................................................</t>
  </si>
  <si>
    <t>23.</t>
  </si>
  <si>
    <t>Interconsultas Generadas  en Atención  Primaria…………………………..</t>
  </si>
  <si>
    <t>Interconsultas APS atendidas  en  el  nivel secundario………………………..</t>
  </si>
  <si>
    <t>24.</t>
  </si>
  <si>
    <t>Personas  atendidas  y  prestaciones  GES ………………………………..</t>
  </si>
  <si>
    <t>25.</t>
  </si>
  <si>
    <t>Cecof  Los  Andes</t>
  </si>
  <si>
    <t>Cecof  San Felipe</t>
  </si>
  <si>
    <t>Cecof  las Cadenas</t>
  </si>
  <si>
    <t>Registro  Atenciones  OIRS …………………………………………………..</t>
  </si>
  <si>
    <t>26.</t>
  </si>
  <si>
    <t>27.</t>
  </si>
  <si>
    <t xml:space="preserve"> CECOF Los  Andes</t>
  </si>
  <si>
    <t xml:space="preserve"> CECOF San  Felipe</t>
  </si>
  <si>
    <t xml:space="preserve"> Hospital de Llay Llay</t>
  </si>
  <si>
    <t>Tasa  consulta médica habitante año nivel primario ....................</t>
  </si>
  <si>
    <t>28.</t>
  </si>
  <si>
    <t>Tasa  consulta médica habitante año nivel primario según  comunas ....................</t>
  </si>
  <si>
    <t>29.</t>
  </si>
  <si>
    <t>Programa de Alimentación Complementaria..........................................</t>
  </si>
  <si>
    <t>30.</t>
  </si>
  <si>
    <t>Población  con  Empa  vigente  ………………………………………………</t>
  </si>
  <si>
    <t>31.</t>
  </si>
  <si>
    <t>Pacientes  bajo control  en  Salud  mental nivel  primario …………………</t>
  </si>
  <si>
    <t>32.</t>
  </si>
  <si>
    <t>Tasa de  prevención  odontológica.......................................................................</t>
  </si>
  <si>
    <t>33.</t>
  </si>
  <si>
    <t>Consultas  de Urgencia según  Establecimientos..................................</t>
  </si>
  <si>
    <t>34.</t>
  </si>
  <si>
    <t>35.</t>
  </si>
  <si>
    <t>Atenciones  médicas  de  urgencia  según  establecimiento</t>
  </si>
  <si>
    <t>36.</t>
  </si>
  <si>
    <t>Interv. Quir. Electivas y  Urgencia  según establecimientos..........................</t>
  </si>
  <si>
    <t>37.</t>
  </si>
  <si>
    <t>Perfil de intervenciones quirúrgicas .......................................................</t>
  </si>
  <si>
    <t>38.</t>
  </si>
  <si>
    <t>39.</t>
  </si>
  <si>
    <t>40.</t>
  </si>
  <si>
    <t xml:space="preserve"> CECOF  LOS  ANDES</t>
  </si>
  <si>
    <t xml:space="preserve"> CECOF STA.  MARIA</t>
  </si>
  <si>
    <t>Censo Camas  consolidado  y Establecimientos....................................</t>
  </si>
  <si>
    <t>41.</t>
  </si>
  <si>
    <t>Perfil de egresos hosp. índice ocupacional y promedio días estada..........</t>
  </si>
  <si>
    <t>42.</t>
  </si>
  <si>
    <t>44.</t>
  </si>
  <si>
    <t>45.</t>
  </si>
  <si>
    <t>46.</t>
  </si>
  <si>
    <t>47.</t>
  </si>
  <si>
    <t>48.</t>
  </si>
  <si>
    <t>49.</t>
  </si>
  <si>
    <t>1.</t>
  </si>
  <si>
    <t>Glosario  ..........................................................................................</t>
  </si>
  <si>
    <t>------   o   --------</t>
  </si>
  <si>
    <t>43.</t>
  </si>
  <si>
    <t>DIRECCION</t>
  </si>
  <si>
    <t>PUTAENDO</t>
  </si>
  <si>
    <t>PSIQUIATRICO</t>
  </si>
  <si>
    <t xml:space="preserve">   ADMINISTRATIVOS</t>
  </si>
  <si>
    <t xml:space="preserve">   AUXILIARES</t>
  </si>
  <si>
    <t xml:space="preserve">   MEDICOS</t>
  </si>
  <si>
    <t xml:space="preserve">   DENTISTAS</t>
  </si>
  <si>
    <t xml:space="preserve">    T O T A L </t>
  </si>
  <si>
    <t>DISTANCIA  EN  KM  DESDE  ESTABLECIMIENTOS  PRIMARIOS  A  CENTROS</t>
  </si>
  <si>
    <t>DE  MAYOR  COMPLEJIDAD  SERV.  DE  SALUD  ACONCAGUA</t>
  </si>
  <si>
    <t>POSTAS</t>
  </si>
  <si>
    <t>HOSP. TIPO  4</t>
  </si>
  <si>
    <t>HOSP. TIPO  2 y 3</t>
  </si>
  <si>
    <t>VIÑA O VALPARAISO</t>
  </si>
  <si>
    <t>PIGUCHEN</t>
  </si>
  <si>
    <t>GUZMANES</t>
  </si>
  <si>
    <t>ORILLA</t>
  </si>
  <si>
    <t>QUEB. HERRERA</t>
  </si>
  <si>
    <t>STA. FILOMENA</t>
  </si>
  <si>
    <t>STA. MARIA</t>
  </si>
  <si>
    <t>LAS CADENAS</t>
  </si>
  <si>
    <t>CURIMON</t>
  </si>
  <si>
    <t>SAN FELIPE</t>
  </si>
  <si>
    <t>HOSP. TIPO  1</t>
  </si>
  <si>
    <t>PANQUEHUE</t>
  </si>
  <si>
    <t>CERRILLOS</t>
  </si>
  <si>
    <t>CATEMU</t>
  </si>
  <si>
    <t>LLAY  LLAY</t>
  </si>
  <si>
    <t>RIO  BLANCO</t>
  </si>
  <si>
    <t>Nº 1 LOS ANDES</t>
  </si>
  <si>
    <t>SAN VICENTE</t>
  </si>
  <si>
    <t>CALLE  LARGA</t>
  </si>
  <si>
    <t>LO CALVO</t>
  </si>
  <si>
    <t>Nº 2 LOS ANDES</t>
  </si>
  <si>
    <t>LOS  ANDES</t>
  </si>
  <si>
    <t>C. BOTADO</t>
  </si>
  <si>
    <t>SAN ESTEBAN</t>
  </si>
  <si>
    <t>C. AHUMADA</t>
  </si>
  <si>
    <t>RIO COLORADO</t>
  </si>
  <si>
    <t>RINCONADA</t>
  </si>
  <si>
    <t>DISTANCIA  EN KILOMETROS  ENTRE ESTABLECIMIENTOS  DEL SERVICIO DE SALUD ACONCAGUA</t>
  </si>
  <si>
    <t>DISTANCIA 
APROXIMADA
EN KILOMETROS</t>
  </si>
  <si>
    <t>H.LOS  ANDES</t>
  </si>
  <si>
    <t>H.SAN FELIPE</t>
  </si>
  <si>
    <t>C.SAN FELIPE</t>
  </si>
  <si>
    <t>H.PUTAENDO</t>
  </si>
  <si>
    <t>C.PUTAENDO</t>
  </si>
  <si>
    <t>H.LLAY  LLAY</t>
  </si>
  <si>
    <t>C.LLAY  LLAY</t>
  </si>
  <si>
    <t>VIÑA O VALPSO</t>
  </si>
  <si>
    <t>Q. HERRERA</t>
  </si>
  <si>
    <t xml:space="preserve">  ESTA
MENTOS</t>
  </si>
  <si>
    <t>PLANTA</t>
  </si>
  <si>
    <t>LEY</t>
  </si>
  <si>
    <t xml:space="preserve">  SUBTOTAL</t>
  </si>
  <si>
    <t xml:space="preserve"> LEY</t>
  </si>
  <si>
    <t xml:space="preserve">  DIRECTIVOS</t>
  </si>
  <si>
    <t>HOSP. SAN
CAMILO</t>
  </si>
  <si>
    <t xml:space="preserve">HOSP. LOS
ANDES </t>
  </si>
  <si>
    <t>HOSP.
LLAY LLAY</t>
  </si>
  <si>
    <t>HOSP.
PUTAENDO</t>
  </si>
  <si>
    <t xml:space="preserve">HOSP.
PSIQUIATRICO </t>
  </si>
  <si>
    <t>CONS. GRAL.
SAN FELIPE</t>
  </si>
  <si>
    <t>TOTAL
DOTACION</t>
  </si>
  <si>
    <t xml:space="preserve">  DENTISTA</t>
  </si>
  <si>
    <t xml:space="preserve">   DIRECTIVOS</t>
  </si>
  <si>
    <t xml:space="preserve">   PROFESIONAL</t>
  </si>
  <si>
    <t xml:space="preserve">  TECNICOS</t>
  </si>
  <si>
    <t xml:space="preserve">  MEDICO</t>
  </si>
  <si>
    <t xml:space="preserve">  Q. FARMACEUTICO</t>
  </si>
  <si>
    <t xml:space="preserve">  BIOQUIMICOS</t>
  </si>
  <si>
    <t>DOTACION   SERVICIO  DE  SALUD  ACONCAGUA  POR  ESTABLECIMIENTOS</t>
  </si>
  <si>
    <t>DOTACION   DE  FUNCIONARIOS  DE  ESTABLECIMIENTOS  DE  LA  SALUD  MUNICIPAL</t>
  </si>
  <si>
    <t>Cecof Lo Calvo</t>
  </si>
  <si>
    <t xml:space="preserve">   ODONTOLOGOS</t>
  </si>
  <si>
    <t xml:space="preserve">   PSICOLOGO/A</t>
  </si>
  <si>
    <t xml:space="preserve">   MATRON/A</t>
  </si>
  <si>
    <t xml:space="preserve">   ENFERMERA/O</t>
  </si>
  <si>
    <t xml:space="preserve">   ASISTENTE  SOCIAL</t>
  </si>
  <si>
    <t xml:space="preserve">   NUTRICIONISTA</t>
  </si>
  <si>
    <t xml:space="preserve">   KINESIOLOGOS</t>
  </si>
  <si>
    <t xml:space="preserve">   OTROS CAT. B</t>
  </si>
  <si>
    <t xml:space="preserve">  TOTAL CAT. C</t>
  </si>
  <si>
    <t xml:space="preserve">  TOTAL CAT. D</t>
  </si>
  <si>
    <t xml:space="preserve">  TOTAL CAT. E</t>
  </si>
  <si>
    <t xml:space="preserve">  TOTAL CAT. F</t>
  </si>
  <si>
    <t>SAN 
ESTEBAN</t>
  </si>
  <si>
    <t>CALLE
LARGA</t>
  </si>
  <si>
    <t>SAN 
FELIPE</t>
  </si>
  <si>
    <t>SANTA
MARIA</t>
  </si>
  <si>
    <t xml:space="preserve">  CATEGORIAS</t>
  </si>
  <si>
    <t>OTRAS</t>
  </si>
  <si>
    <t>CATEGORIAS</t>
  </si>
  <si>
    <t>CATEGORIA</t>
  </si>
  <si>
    <t>A</t>
  </si>
  <si>
    <t>B</t>
  </si>
  <si>
    <t xml:space="preserve">   PLANTA</t>
  </si>
  <si>
    <t>Servicios de Salud 
y Comunas</t>
  </si>
  <si>
    <t>Sexo</t>
  </si>
  <si>
    <t>Hombres</t>
  </si>
  <si>
    <t>Mujeres</t>
  </si>
  <si>
    <t>Total</t>
  </si>
  <si>
    <t>0-4</t>
  </si>
  <si>
    <t>5-9</t>
  </si>
  <si>
    <t>10-14</t>
  </si>
  <si>
    <t>15-19</t>
  </si>
  <si>
    <t>20-24</t>
  </si>
  <si>
    <t>25-29</t>
  </si>
  <si>
    <t>30-34</t>
  </si>
  <si>
    <t>35-39</t>
  </si>
  <si>
    <t>40-44</t>
  </si>
  <si>
    <t>45-49</t>
  </si>
  <si>
    <t>50-54</t>
  </si>
  <si>
    <t>55-59</t>
  </si>
  <si>
    <t>60-64</t>
  </si>
  <si>
    <t>65-69</t>
  </si>
  <si>
    <t>70-74</t>
  </si>
  <si>
    <t>75-79</t>
  </si>
  <si>
    <t>80 y +</t>
  </si>
  <si>
    <t>POBLACION URBANA , RURAL , SUPERFICIE Y DENSIDAD SEGUN  COMUNA</t>
  </si>
  <si>
    <t>P O B L A C I O N</t>
  </si>
  <si>
    <t>%</t>
  </si>
  <si>
    <t>SUPERFICIE</t>
  </si>
  <si>
    <t>DENSIDAD</t>
  </si>
  <si>
    <t xml:space="preserve">   COMUNAS</t>
  </si>
  <si>
    <t>URBANA</t>
  </si>
  <si>
    <t>RURAL</t>
  </si>
  <si>
    <t>TOTAL</t>
  </si>
  <si>
    <t>RURALIDAD</t>
  </si>
  <si>
    <t>KM</t>
  </si>
  <si>
    <t>(hab. / Km)</t>
  </si>
  <si>
    <t xml:space="preserve">  LOS ANDES</t>
  </si>
  <si>
    <t xml:space="preserve">  SAN ESTEBAN</t>
  </si>
  <si>
    <t xml:space="preserve">  CALLE LARGA</t>
  </si>
  <si>
    <t xml:space="preserve">  RINCONADA</t>
  </si>
  <si>
    <t xml:space="preserve">  PROV. LOS  ANDES</t>
  </si>
  <si>
    <t xml:space="preserve">  SAN FELIPE</t>
  </si>
  <si>
    <t xml:space="preserve">  PUTAENDO</t>
  </si>
  <si>
    <t xml:space="preserve">  STA.  MARIA</t>
  </si>
  <si>
    <t xml:space="preserve">  PANQUEHUE</t>
  </si>
  <si>
    <t xml:space="preserve">  LLAY - LLAY</t>
  </si>
  <si>
    <t xml:space="preserve">  CATEMU</t>
  </si>
  <si>
    <t xml:space="preserve"> CECOF SAN FELIPE</t>
  </si>
  <si>
    <t xml:space="preserve">  PROV. SAN  FELIPE</t>
  </si>
  <si>
    <t xml:space="preserve">  T O T A L </t>
  </si>
  <si>
    <t>POBLACION  TOTAL  SERVICIO DE SALUD</t>
  </si>
  <si>
    <t>COMUNAS</t>
  </si>
  <si>
    <t>-1a.</t>
  </si>
  <si>
    <t>12 - 23 m.</t>
  </si>
  <si>
    <t>2 - 5 a.</t>
  </si>
  <si>
    <t>6 - 9 a.</t>
  </si>
  <si>
    <t>10 - 14 a.</t>
  </si>
  <si>
    <t>15 - 19 a.</t>
  </si>
  <si>
    <t>20 - 44 a.</t>
  </si>
  <si>
    <t>45 - 64 a.</t>
  </si>
  <si>
    <t>65 y + a.</t>
  </si>
  <si>
    <t>C. LOS ANDES</t>
  </si>
  <si>
    <t>*</t>
  </si>
  <si>
    <t>Los Andes centro</t>
  </si>
  <si>
    <t>Río Blanco</t>
  </si>
  <si>
    <t>V. O'Higgins</t>
  </si>
  <si>
    <t>Saladillo</t>
  </si>
  <si>
    <t>C. SAN ESTEBAN</t>
  </si>
  <si>
    <t>San Esteban</t>
  </si>
  <si>
    <t>Cariño botado</t>
  </si>
  <si>
    <t>Río Colorado</t>
  </si>
  <si>
    <t>C. Ahumada</t>
  </si>
  <si>
    <t>San Francisco</t>
  </si>
  <si>
    <t>C. CALLE LARGA</t>
  </si>
  <si>
    <t>Calle Larga</t>
  </si>
  <si>
    <t>San Vicente</t>
  </si>
  <si>
    <t>C. RINCONADA</t>
  </si>
  <si>
    <t>Rinconada</t>
  </si>
  <si>
    <t>Casuto</t>
  </si>
  <si>
    <t>Auco</t>
  </si>
  <si>
    <t>PROV. LOS ANDES</t>
  </si>
  <si>
    <t>San Felipe</t>
  </si>
  <si>
    <t>Curimón</t>
  </si>
  <si>
    <t>C. PUTAENDO</t>
  </si>
  <si>
    <t>Putaendo</t>
  </si>
  <si>
    <t>Queb. Herrera</t>
  </si>
  <si>
    <t>Las Coimas</t>
  </si>
  <si>
    <t>Rinc. de Silva</t>
  </si>
  <si>
    <t xml:space="preserve">La Orilla </t>
  </si>
  <si>
    <t>Granallas</t>
  </si>
  <si>
    <t>Guzmanes</t>
  </si>
  <si>
    <t xml:space="preserve">Piguchen </t>
  </si>
  <si>
    <t>Lo Vicuña</t>
  </si>
  <si>
    <t>Casablanca</t>
  </si>
  <si>
    <t>Los Patos</t>
  </si>
  <si>
    <t>C. STA MARIA</t>
  </si>
  <si>
    <t>Sta. María</t>
  </si>
  <si>
    <t>Sta. Filom.-Jahuel</t>
  </si>
  <si>
    <t>C. PANQUEHUE</t>
  </si>
  <si>
    <t>Panquehue</t>
  </si>
  <si>
    <t>Esc. Palomar</t>
  </si>
  <si>
    <t>Viña Errazuriz</t>
  </si>
  <si>
    <t>Lo Campo</t>
  </si>
  <si>
    <t>C. LLAY LLAY</t>
  </si>
  <si>
    <t>Llay  Llay</t>
  </si>
  <si>
    <t>E. Meiggs</t>
  </si>
  <si>
    <t xml:space="preserve">Los Loros </t>
  </si>
  <si>
    <t>Las Vegas</t>
  </si>
  <si>
    <t>C. CATEMU</t>
  </si>
  <si>
    <t>Catemu</t>
  </si>
  <si>
    <t xml:space="preserve">Ñilhue </t>
  </si>
  <si>
    <t>Compuertas</t>
  </si>
  <si>
    <t>San José</t>
  </si>
  <si>
    <t>Reinoso</t>
  </si>
  <si>
    <t>Sta. Isabel</t>
  </si>
  <si>
    <t>Sta. Margarita</t>
  </si>
  <si>
    <t xml:space="preserve">El Cobre </t>
  </si>
  <si>
    <t>El Seco</t>
  </si>
  <si>
    <t>PROV. SAN FELIPE</t>
  </si>
  <si>
    <t>T O T A L</t>
  </si>
  <si>
    <t>POBLACION  TOTAL  FEMENINA SERVICIO DE SALUD</t>
  </si>
  <si>
    <t>-10a.</t>
  </si>
  <si>
    <t>45 - 49 a.</t>
  </si>
  <si>
    <t>50 - 64 a.</t>
  </si>
  <si>
    <t>EMBARA-
ZADA</t>
  </si>
  <si>
    <t xml:space="preserve">ÍNDICE DE VEJEZ  POR COMUNAS </t>
  </si>
  <si>
    <t xml:space="preserve">SERVICIO DE SALUD   ACONCAGUA  </t>
  </si>
  <si>
    <t>L.A.</t>
  </si>
  <si>
    <t>S.E.</t>
  </si>
  <si>
    <t>C.L.</t>
  </si>
  <si>
    <t>RIN.</t>
  </si>
  <si>
    <t>S.F.</t>
  </si>
  <si>
    <t>PUT.</t>
  </si>
  <si>
    <t>S.M.</t>
  </si>
  <si>
    <t>PANQ.</t>
  </si>
  <si>
    <t>LL.</t>
  </si>
  <si>
    <t>CAT.</t>
  </si>
  <si>
    <t>TASA DE FECUNDIDAD SEGUN COMUNAS</t>
  </si>
  <si>
    <t>POB. FEM.
TOTAL</t>
  </si>
  <si>
    <t>% DE MUJERES 
EN EDAD FERTIL</t>
  </si>
  <si>
    <t>MUJERES
15 - 49 AÑOS</t>
  </si>
  <si>
    <t xml:space="preserve">  TASA
FECUNDIDAD
  %o</t>
  </si>
  <si>
    <t xml:space="preserve"> LOS ANDES</t>
  </si>
  <si>
    <t xml:space="preserve"> SAN ESTEBAN</t>
  </si>
  <si>
    <t xml:space="preserve"> RINCONADA</t>
  </si>
  <si>
    <t xml:space="preserve"> SAN FELIPE</t>
  </si>
  <si>
    <t xml:space="preserve"> PUTAENDO</t>
  </si>
  <si>
    <t xml:space="preserve"> STA. MARIA</t>
  </si>
  <si>
    <t xml:space="preserve"> PANQUEHUE</t>
  </si>
  <si>
    <t xml:space="preserve"> LLAY  LLAY</t>
  </si>
  <si>
    <t xml:space="preserve"> CATEMU</t>
  </si>
  <si>
    <t xml:space="preserve"> T O T A L </t>
  </si>
  <si>
    <t>CAPITULO   I</t>
  </si>
  <si>
    <t>INFORMACION</t>
  </si>
  <si>
    <t>BASICA</t>
  </si>
  <si>
    <t>CRECIMIENTO   VEGETATIVO  POR  PROVINCIAS,   COMUNAS  Y  AÑOS</t>
  </si>
  <si>
    <t xml:space="preserve">SERVICIO DE SALUD   ACONCAGUA   </t>
  </si>
  <si>
    <t xml:space="preserve"> CONS. S. FELIPE  N° 2</t>
  </si>
  <si>
    <t xml:space="preserve"> CESFAM. LLAY  LLAY</t>
  </si>
  <si>
    <t xml:space="preserve"> CESFAM  STA. MARIA</t>
  </si>
  <si>
    <t>LOS ANDES</t>
  </si>
  <si>
    <t>SAN  ESTEBAN</t>
  </si>
  <si>
    <t>PROV. LOS  ANDES</t>
  </si>
  <si>
    <t>SAN  FELIPE</t>
  </si>
  <si>
    <t>STA.  MARIA</t>
  </si>
  <si>
    <t xml:space="preserve">LLAY  LLAY  </t>
  </si>
  <si>
    <t>PROV.  SAN  FELIPE</t>
  </si>
  <si>
    <t xml:space="preserve">T O T A L </t>
  </si>
  <si>
    <t>POBLACION  SEGUN  PAIS REGION  SERV. DE SALUD  Y COMUNAS</t>
  </si>
  <si>
    <t xml:space="preserve"> P R O V I N C I A S   Y   C O M U N A S</t>
  </si>
  <si>
    <t>AÑOS</t>
  </si>
  <si>
    <t>CECOF LO  CALVO</t>
  </si>
  <si>
    <t>CECOF LOS ANDES</t>
  </si>
  <si>
    <t>CECOF  LAS  CADENAS</t>
  </si>
  <si>
    <t>CECOF  CERRILLOS</t>
  </si>
  <si>
    <t>PAIS</t>
  </si>
  <si>
    <t>REGION</t>
  </si>
  <si>
    <t>SERV. SALUD</t>
  </si>
  <si>
    <t>PROV.</t>
  </si>
  <si>
    <t>ACONCAGUA</t>
  </si>
  <si>
    <t>SAN ESTEB.</t>
  </si>
  <si>
    <t>CALLE LAR.</t>
  </si>
  <si>
    <t xml:space="preserve">SAN FELIPE </t>
  </si>
  <si>
    <t>LLAY LLAY</t>
  </si>
  <si>
    <t>Nota:  Proyección  Censo  2002</t>
  </si>
  <si>
    <t xml:space="preserve">  SAN EST.</t>
  </si>
  <si>
    <t xml:space="preserve">  CALLE L.</t>
  </si>
  <si>
    <t xml:space="preserve">  RINCO.</t>
  </si>
  <si>
    <t xml:space="preserve">  PANQ.</t>
  </si>
  <si>
    <r>
      <t xml:space="preserve">N° 2  </t>
    </r>
    <r>
      <rPr>
        <sz val="9"/>
        <rFont val="Arial"/>
        <family val="2"/>
      </rPr>
      <t>SAN FELIPE</t>
    </r>
  </si>
  <si>
    <t>CECOF</t>
  </si>
  <si>
    <t>C.SAN FELIPE N° 2</t>
  </si>
  <si>
    <t>San Felipe  N°  2</t>
  </si>
  <si>
    <t>CAPITULO   II</t>
  </si>
  <si>
    <t>INDICADORES</t>
  </si>
  <si>
    <t>BIODEMOGRAFICOS</t>
  </si>
  <si>
    <t>NATALIDAD SEGUN PAIS REGION  SERV. DE SALUD  Y COMUNAS</t>
  </si>
  <si>
    <t>Nº</t>
  </si>
  <si>
    <t>TASA</t>
  </si>
  <si>
    <t>MORTALIDAD  FETAL  TARDIA SEGUN PAIS REGION  SERV. DE SALUD  Y COMUNAS</t>
  </si>
  <si>
    <t xml:space="preserve">           TASA        POR  1.000   Nacidos vivos</t>
  </si>
  <si>
    <t>MORTALIDAD  PERINATAL  SEGUN PAIS REGION  SERV. DE SALUD  Y COMUNAS</t>
  </si>
  <si>
    <t xml:space="preserve">NACIDOS 
VIVOS  </t>
  </si>
  <si>
    <t xml:space="preserve">           TASA        POR  1.000  Nacidos vivos</t>
  </si>
  <si>
    <t>MORTALIDAD  NEONATAL PRECOZ  SEGUN PAIS REGION  SERV. DE SALUD  Y COMUNAS</t>
  </si>
  <si>
    <t xml:space="preserve">        TASA        POR  1.000  Nacidos vivos</t>
  </si>
  <si>
    <t>MORTALIDAD  NEONATAL   SEGUN PAIS REGION  SERV. DE SALUD  Y COMUNAS</t>
  </si>
  <si>
    <t xml:space="preserve">          TASA        POR  1.000   Nacidos vivos</t>
  </si>
  <si>
    <t>MORTALIDAD  INFANTIL TARDIA   SEGUN  PAIS REGION  SERV. DE SALUD  Y COMUNAS</t>
  </si>
  <si>
    <t>MORTALIDAD  INFANTIL    SEGUN  PAIS REGION  SERV. DE SALUD  Y COMUNAS</t>
  </si>
  <si>
    <t xml:space="preserve">             TASA        POR  1.000   Nacidos vivos</t>
  </si>
  <si>
    <t>MORTALIDAD  MATERNA   SEGUN  PAIS REGION  SERV. DE SALUD  Y COMUNAS</t>
  </si>
  <si>
    <t xml:space="preserve">           TASA        POR  10.000   Nacidos vivos</t>
  </si>
  <si>
    <t>MORTALIDAD  GENERAL   SEGUN  PAIS REGION  SERV. DE SALUD  Y COMUNAS</t>
  </si>
  <si>
    <t xml:space="preserve">           TASA        POR  1.000  hab.</t>
  </si>
  <si>
    <t>TOTAL  DEFUNCIONES POR GRUPO DE CAUSAS SEGUN COMUNAS</t>
  </si>
  <si>
    <t>( CIE  10 )</t>
  </si>
  <si>
    <t xml:space="preserve">   CODIGO</t>
  </si>
  <si>
    <t>P R O V I N C I A S     Y    C O M U N A S</t>
  </si>
  <si>
    <t xml:space="preserve">   INTERNA-
   CIONAL</t>
  </si>
  <si>
    <t xml:space="preserve"> GRUPO  DE CAUSAS</t>
  </si>
  <si>
    <t>PROV.
LOS ANDES</t>
  </si>
  <si>
    <t>S. ESTEBAN</t>
  </si>
  <si>
    <t>C. LARGA</t>
  </si>
  <si>
    <t>PROV.
SAN FELIPE</t>
  </si>
  <si>
    <t>S. FELIPE</t>
  </si>
  <si>
    <t>LLAY-LLAY</t>
  </si>
  <si>
    <t>OTROS</t>
  </si>
  <si>
    <t>I 00 - I 99</t>
  </si>
  <si>
    <t xml:space="preserve"> ENF. APARATO CIRCULATORIO</t>
  </si>
  <si>
    <t>C00 - D48</t>
  </si>
  <si>
    <t xml:space="preserve"> TUMORES</t>
  </si>
  <si>
    <t>J00 - J99</t>
  </si>
  <si>
    <t xml:space="preserve"> ENF. APARATO RESPIRATORIO</t>
  </si>
  <si>
    <t>A.  PRIMARIA  *</t>
  </si>
  <si>
    <t>*  Cesfam  Llay llay, San  Felipe y  Los  Andes</t>
  </si>
  <si>
    <t>66.-ATENCIÓN ODONTOLOGICA INTEGRAL DE LA EMBARAZADA</t>
  </si>
  <si>
    <t>67.-ESCLEROSIS MULTIPLE REMITENTE RECURRENTE</t>
  </si>
  <si>
    <t xml:space="preserve">68.-HEPATITIS B </t>
  </si>
  <si>
    <t>69.-HEPATITIS C</t>
  </si>
  <si>
    <t>60.-EPILEPSIA NO REFRACTARIA 15 AÑOS Y MAS</t>
  </si>
  <si>
    <t>61.-ASMA BRONQUIAL 15 AÑOS Y MAS</t>
  </si>
  <si>
    <t>62.-ENFERMEDAD DE PARKINSON</t>
  </si>
  <si>
    <t>63.-ARTRITIS REUMATOIDEA JUVENIL</t>
  </si>
  <si>
    <t>64.-PREVENCIÓN SECUNDARIA EN PACIENTES CON IRC</t>
  </si>
  <si>
    <t>65.-DISPLASIA LUXANTE DE CADERAS</t>
  </si>
  <si>
    <t>57.-RETINOPATIA  DEL  PREMATURO</t>
  </si>
  <si>
    <t>58.-DISPLASIA  BRONCOPULMUNAR  DEL  PREMATURO</t>
  </si>
  <si>
    <t>59.- HIPOACUSIA BILATERAL DEL  PREMATURO</t>
  </si>
  <si>
    <t>S00 - Z99</t>
  </si>
  <si>
    <t xml:space="preserve"> TRAUMAT. Y  ENVENENAMIENTO</t>
  </si>
  <si>
    <t>K00 - K99</t>
  </si>
  <si>
    <t xml:space="preserve"> ENF. APARATO DIGESTIVO</t>
  </si>
  <si>
    <t>N00 - N99</t>
  </si>
  <si>
    <t xml:space="preserve"> ENF. APARATO GENITOURINARIO</t>
  </si>
  <si>
    <t>A00 - B99</t>
  </si>
  <si>
    <t xml:space="preserve"> INFECC.  Y PARASITARIAS</t>
  </si>
  <si>
    <t>R00 - R99</t>
  </si>
  <si>
    <t>SIGNOS, ENF. MAL DEFINIDAS</t>
  </si>
  <si>
    <t>E00 - E99</t>
  </si>
  <si>
    <t xml:space="preserve"> ENF. GLANDULAS ENDOCRINAS</t>
  </si>
  <si>
    <t>P00 - P99</t>
  </si>
  <si>
    <t xml:space="preserve"> AFEC. PERIODO PERINATAL</t>
  </si>
  <si>
    <t>Q00 - Q99</t>
  </si>
  <si>
    <t xml:space="preserve"> ANOMALIAS  CONGENITAS</t>
  </si>
  <si>
    <t>TOTAL  DEFUNCIONES POR GRUPO DE CAUSAS SEGUN GRUPOS ETAREOS</t>
  </si>
  <si>
    <t xml:space="preserve">G R U P O S       E T A R E O S </t>
  </si>
  <si>
    <t>N.M</t>
  </si>
  <si>
    <t>0 - 7d</t>
  </si>
  <si>
    <t>7-27 d</t>
  </si>
  <si>
    <t>1 - 11 m</t>
  </si>
  <si>
    <t>1 - 4 a</t>
  </si>
  <si>
    <t>5 - 9 a</t>
  </si>
  <si>
    <t>10 - 14 a</t>
  </si>
  <si>
    <t>15 -19 a</t>
  </si>
  <si>
    <t>20 - 44 a</t>
  </si>
  <si>
    <t>45 - 64 a</t>
  </si>
  <si>
    <t>65 y + a</t>
  </si>
  <si>
    <t xml:space="preserve"> SIGNOS, ENF. MAL DEFINIDAS</t>
  </si>
  <si>
    <t xml:space="preserve"> OTRAS</t>
  </si>
  <si>
    <t xml:space="preserve"> TOTAL</t>
  </si>
  <si>
    <t>pais</t>
  </si>
  <si>
    <t>Paìs</t>
  </si>
  <si>
    <t>SS</t>
  </si>
  <si>
    <t>AÑOS  DE  VIDA POTENCIALMENTE   PERDIDOS  (AVPP) SEGÚN  GRUPO  DE  CAUSAS Y  QUINQUENIOS</t>
  </si>
  <si>
    <t>1 - 4</t>
  </si>
  <si>
    <t>5 - 9</t>
  </si>
  <si>
    <t>10 - 14</t>
  </si>
  <si>
    <t>15 - 19</t>
  </si>
  <si>
    <t>20 - 24</t>
  </si>
  <si>
    <t>25 - 29</t>
  </si>
  <si>
    <t>30 - 34</t>
  </si>
  <si>
    <t>35 - 39</t>
  </si>
  <si>
    <t>40 - 44</t>
  </si>
  <si>
    <t>45 - 49</t>
  </si>
  <si>
    <t>50 - 54</t>
  </si>
  <si>
    <t>55 - 59</t>
  </si>
  <si>
    <t>60 - 64</t>
  </si>
  <si>
    <t>65 - 69</t>
  </si>
  <si>
    <t>70 - 74</t>
  </si>
  <si>
    <t>75 - 79</t>
  </si>
  <si>
    <t>80 Y +</t>
  </si>
  <si>
    <t xml:space="preserve">Nota :  Se  consideraron   de  1  a  79   años  </t>
  </si>
  <si>
    <t>Nota:  no  incluye  los  menores  de  1  año  en  el  total</t>
  </si>
  <si>
    <t xml:space="preserve"> U.T.I.  NEONATAL</t>
  </si>
  <si>
    <t>CECOF  Q. HERRERA</t>
  </si>
  <si>
    <t xml:space="preserve">NOTIFICACIONES  DE LAS  PRINCIPALES  </t>
  </si>
  <si>
    <t>ENFERMEDADES  TRANSMISIBLES</t>
  </si>
  <si>
    <t xml:space="preserve">PAIS  </t>
  </si>
  <si>
    <t>S.S.ACONCAGUA</t>
  </si>
  <si>
    <t>ENFERMEDADES</t>
  </si>
  <si>
    <t xml:space="preserve">CASOS </t>
  </si>
  <si>
    <t>DIFTERIA</t>
  </si>
  <si>
    <t>TOS FERINA</t>
  </si>
  <si>
    <t>TETANO NEOT</t>
  </si>
  <si>
    <t>RESTO TETANO</t>
  </si>
  <si>
    <t>RUBEOLA</t>
  </si>
  <si>
    <t>TIFOIDEA  Y PARAT.</t>
  </si>
  <si>
    <t>HEPATITIS A</t>
  </si>
  <si>
    <t>HEPATITIS B</t>
  </si>
  <si>
    <t>RESTOS DE HEPATIT.</t>
  </si>
  <si>
    <t>TUBERCULOSIS</t>
  </si>
  <si>
    <t>CARBUNCO</t>
  </si>
  <si>
    <t>BRUCELOSIS</t>
  </si>
  <si>
    <t xml:space="preserve"> VIH/SIDA</t>
  </si>
  <si>
    <t>SIFILIS</t>
  </si>
  <si>
    <t>GONORREA</t>
  </si>
  <si>
    <t>PAROTIDITIS</t>
  </si>
  <si>
    <t>MALARIA</t>
  </si>
  <si>
    <t>HIDATIDOSIS</t>
  </si>
  <si>
    <t>TRIQUINOISIS</t>
  </si>
  <si>
    <t>HANTAVIRUS</t>
  </si>
  <si>
    <t>DENGUE</t>
  </si>
  <si>
    <t>Tasas   por  100.000  hab.</t>
  </si>
  <si>
    <t>CAPITULO   III</t>
  </si>
  <si>
    <t>ACTIVIDADES</t>
  </si>
  <si>
    <t>SOBRE</t>
  </si>
  <si>
    <t xml:space="preserve">  LAS PERSONAS</t>
  </si>
  <si>
    <t>POBLACION  USUARIA  BAJO  CONTROL  MENORES  DE  6  AÑOS  SEGÚN  COMUNA</t>
  </si>
  <si>
    <t>QUE  PRESENTAN  DESVIACIONES  EN  SU CALIFICACION  NUTRICIONAL</t>
  </si>
  <si>
    <t xml:space="preserve"> POB.  BAJO</t>
  </si>
  <si>
    <t>CALIFICACIONES   N. C. H. S.</t>
  </si>
  <si>
    <t xml:space="preserve"> COMUNA</t>
  </si>
  <si>
    <t xml:space="preserve"> LOCALIDAD</t>
  </si>
  <si>
    <t xml:space="preserve"> CONTROL</t>
  </si>
  <si>
    <t>PESO / EDAD</t>
  </si>
  <si>
    <t>PESO / TALLA</t>
  </si>
  <si>
    <t>TALLA / EDAD</t>
  </si>
  <si>
    <t xml:space="preserve"> CESFAM L.A. Nº 1 (M)</t>
  </si>
  <si>
    <t xml:space="preserve"> CESFAM L.A. Nº 2</t>
  </si>
  <si>
    <t xml:space="preserve"> CECOF L. ANDES</t>
  </si>
  <si>
    <t xml:space="preserve"> CESFAM S. ESTEBAN</t>
  </si>
  <si>
    <t xml:space="preserve"> CALLE  LARGA</t>
  </si>
  <si>
    <t xml:space="preserve"> CESFAM CALLE LARGA</t>
  </si>
  <si>
    <t xml:space="preserve"> CESFAM  RINCONADA</t>
  </si>
  <si>
    <t xml:space="preserve"> PROV.</t>
  </si>
  <si>
    <t xml:space="preserve"> CONS. S. FELIPE</t>
  </si>
  <si>
    <t xml:space="preserve"> CESFAM  S. FELIPE N° 2</t>
  </si>
  <si>
    <t xml:space="preserve"> CONS. CURIMON</t>
  </si>
  <si>
    <t xml:space="preserve"> CESFAM  PUTAENDO</t>
  </si>
  <si>
    <t xml:space="preserve"> CESDFAM  STA. MARIA</t>
  </si>
  <si>
    <t xml:space="preserve"> CECOF STA. MARIA</t>
  </si>
  <si>
    <t xml:space="preserve"> CESFAM PANQUEHUE</t>
  </si>
  <si>
    <t xml:space="preserve"> CONS. LLAY  LLAY</t>
  </si>
  <si>
    <t xml:space="preserve"> CESFAM  CATEMU</t>
  </si>
  <si>
    <t>PESO/EDAD</t>
  </si>
  <si>
    <t>PESO/TALLA</t>
  </si>
  <si>
    <t>TALLA/EDAD</t>
  </si>
  <si>
    <t>DIAGNOSTICO  NUTRICIONAL  INTEGRADO  DE POBLACION  USUARIA   MENOR  DE 6  AÑOS</t>
  </si>
  <si>
    <t>COMUNA   Y  CALIFICACION   NUTRICIONAL</t>
  </si>
  <si>
    <t>RIESGO</t>
  </si>
  <si>
    <t>DESNUTRIDO</t>
  </si>
  <si>
    <t>SOBRE  PESO</t>
  </si>
  <si>
    <t>OBESO</t>
  </si>
  <si>
    <t>NORMAL</t>
  </si>
  <si>
    <t>DESESNUTRICIÓN
  SECUNDARIO</t>
  </si>
  <si>
    <t>LOCALIDAD</t>
  </si>
  <si>
    <t>ESTADO  NUTRICIONAL  DE   EMBARAZADAS  USUARIAS  BAJO  CONTROL  SEGUN  COMUNAS</t>
  </si>
  <si>
    <t>OBESA</t>
  </si>
  <si>
    <t>BAJO  PESO</t>
  </si>
  <si>
    <t xml:space="preserve"> CALLE LARGA</t>
  </si>
  <si>
    <t xml:space="preserve"> SAN FELIPE </t>
  </si>
  <si>
    <t xml:space="preserve"> STA.  MARIA</t>
  </si>
  <si>
    <t xml:space="preserve"> LLAY   LLAY</t>
  </si>
  <si>
    <t xml:space="preserve"> T O T A L</t>
  </si>
  <si>
    <t>NACIMIENTOS Y PARTOS POR ESTABLECIMIENTOS</t>
  </si>
  <si>
    <t>SERVICIO DE  SALUD  ACONCAGUA</t>
  </si>
  <si>
    <t>ESTABLECIMIENTOS</t>
  </si>
  <si>
    <t xml:space="preserve"> NACIDOS</t>
  </si>
  <si>
    <t>HOSP.SAN  FELIPE</t>
  </si>
  <si>
    <t>HOSP.LOS ANDES</t>
  </si>
  <si>
    <t>HOSP. LLAY-LLAY</t>
  </si>
  <si>
    <t>SALADILLO</t>
  </si>
  <si>
    <t xml:space="preserve"> VIVOS Y MUERTOS</t>
  </si>
  <si>
    <t>N.V.</t>
  </si>
  <si>
    <t>N.M.</t>
  </si>
  <si>
    <t xml:space="preserve">   999 gr.</t>
  </si>
  <si>
    <t xml:space="preserve"> 1000 - 1499 gr.</t>
  </si>
  <si>
    <t xml:space="preserve"> 1500 - 1999 gr.</t>
  </si>
  <si>
    <t xml:space="preserve"> 2000 - 2400 gr</t>
  </si>
  <si>
    <t xml:space="preserve"> 2500 - 2999 gr</t>
  </si>
  <si>
    <t xml:space="preserve"> 3000 - 3499 gr</t>
  </si>
  <si>
    <t xml:space="preserve"> 3500 - 3999 gr.</t>
  </si>
  <si>
    <t xml:space="preserve"> 4000 - 4499</t>
  </si>
  <si>
    <t xml:space="preserve"> 4500 - y + gr.</t>
  </si>
  <si>
    <t>PARTOS SEGUN OCURRENCIA TIPO Y ATENCION</t>
  </si>
  <si>
    <t xml:space="preserve"> OCURRENCIA</t>
  </si>
  <si>
    <t xml:space="preserve">                      </t>
  </si>
  <si>
    <t xml:space="preserve"> DISTOCICO</t>
  </si>
  <si>
    <t xml:space="preserve"> GEMELAR </t>
  </si>
  <si>
    <t xml:space="preserve"> EUTOCICO</t>
  </si>
  <si>
    <t xml:space="preserve">                     </t>
  </si>
  <si>
    <t xml:space="preserve"> TIPO DE PARTOS</t>
  </si>
  <si>
    <t xml:space="preserve"> TERMINO</t>
  </si>
  <si>
    <t xml:space="preserve"> PREMATURO</t>
  </si>
  <si>
    <t xml:space="preserve"> ATENCION DEL PARTO</t>
  </si>
  <si>
    <t xml:space="preserve"> MEDICO</t>
  </si>
  <si>
    <t xml:space="preserve"> MATRONA </t>
  </si>
  <si>
    <t xml:space="preserve"> PARTOS</t>
  </si>
  <si>
    <t xml:space="preserve"> NORMALES</t>
  </si>
  <si>
    <t xml:space="preserve"> DIST.VAGINAL</t>
  </si>
  <si>
    <t xml:space="preserve"> CESAREA</t>
  </si>
  <si>
    <t>PARTOS  SEGUN EDAD DE LA MADRE</t>
  </si>
  <si>
    <t>45 Y +</t>
  </si>
  <si>
    <t>HOSP. SAN   FELIPE</t>
  </si>
  <si>
    <t>HOSP. LOS ANDES</t>
  </si>
  <si>
    <t>HOSP. LLAY LLAY</t>
  </si>
  <si>
    <t>ISAPRE RIO BLANCO</t>
  </si>
  <si>
    <t>ABORTOS SEGUN EDAD DE LA MUJER</t>
  </si>
  <si>
    <t>HOSP. SAN  CAMILO</t>
  </si>
  <si>
    <t xml:space="preserve">  GRAFICOS DE PARTOS  Y  ABORTOS SEGÚN EDAD DE LA MADRE</t>
  </si>
  <si>
    <t>SERVICIO  DE SALUD  ACONCAGUA</t>
  </si>
  <si>
    <t>PORCENTAJE DE PARTOS  SEGUN EDAD DE LA MADRE</t>
  </si>
  <si>
    <t>PORCENTAJE  DE  ABORTOS SEGUN EDAD DE LA MUJER</t>
  </si>
  <si>
    <t xml:space="preserve">PORCENTAJE  DE CESAREAS  / TOTAL DE PARTOS 
TOTAL  Y  BENEFICIARIOS  POR ESTABLECIMIENTOS </t>
  </si>
  <si>
    <t>TOTAL  beneficiarios</t>
  </si>
  <si>
    <t xml:space="preserve"> HOSP. SAN  CAMILO</t>
  </si>
  <si>
    <t xml:space="preserve"> HOSP. LOS ANDES</t>
  </si>
  <si>
    <t xml:space="preserve"> HOSP. LLAY LLAY</t>
  </si>
  <si>
    <t>Benef.</t>
  </si>
  <si>
    <t>cesareas  beneficiarios</t>
  </si>
  <si>
    <t xml:space="preserve"> HOSP. SAN   FELIPE</t>
  </si>
  <si>
    <t xml:space="preserve"> ISAPRE RIO BLANCO</t>
  </si>
  <si>
    <t>Porcentaje</t>
  </si>
  <si>
    <t xml:space="preserve"> </t>
  </si>
  <si>
    <t>RECIEN  NACIDOS VIVOS  Y MUERTOS  POR COMUNA DE RESIDENCIA</t>
  </si>
  <si>
    <t xml:space="preserve">C O M U N A S </t>
  </si>
  <si>
    <t xml:space="preserve">  P E S O</t>
  </si>
  <si>
    <t>L. ANDES</t>
  </si>
  <si>
    <t>CALLE   L.</t>
  </si>
  <si>
    <t>LLAY - LLAY</t>
  </si>
  <si>
    <t>V</t>
  </si>
  <si>
    <t>M</t>
  </si>
  <si>
    <t xml:space="preserve"> CECOF SAN  FELIPE</t>
  </si>
  <si>
    <t xml:space="preserve">         - 900 grs</t>
  </si>
  <si>
    <t>1000 - 1499 grs</t>
  </si>
  <si>
    <t>1500 - 1999 grs</t>
  </si>
  <si>
    <t>2000 - 2499 grs</t>
  </si>
  <si>
    <t>2500 - 2999 grs</t>
  </si>
  <si>
    <t xml:space="preserve">       Sub-total</t>
  </si>
  <si>
    <t>3000 - 3499 grs</t>
  </si>
  <si>
    <t>3500 - 3999 grs</t>
  </si>
  <si>
    <t>4000  y  +  grs</t>
  </si>
  <si>
    <t xml:space="preserve"> ATENCION</t>
  </si>
  <si>
    <t xml:space="preserve"> PROF. DEL  PARTO</t>
  </si>
  <si>
    <t>PERFIL  ESTERILIZACION  FEMENINA  y MASCULINA  POR ESTABLECIMIENTOS  Y GRUPOS  DE EDAD</t>
  </si>
  <si>
    <t xml:space="preserve">SERVICIO DE SALUD  ACONCAGUA    </t>
  </si>
  <si>
    <t>HOSPITAL  SAN   FELIPE</t>
  </si>
  <si>
    <t>HOSPITAL  LOS ANDES</t>
  </si>
  <si>
    <t>HOSPITAL  LLAY  -  LLAY</t>
  </si>
  <si>
    <t>GRUPOS   DE  EDAD</t>
  </si>
  <si>
    <t>- 19  AÑOS</t>
  </si>
  <si>
    <t>20 - 34  AÑOS</t>
  </si>
  <si>
    <t>35 y +  AÑOS</t>
  </si>
  <si>
    <t>TOTAL  MASCULINA</t>
  </si>
  <si>
    <t xml:space="preserve"> CONSULTAS   Y  CONTROLES  POR  ESTABLECIMIENTOS Y PROFESIONALES</t>
  </si>
  <si>
    <t>PROGRAMA  INFANTIL  NIVEL  PRIMARIO</t>
  </si>
  <si>
    <t>MEDICO</t>
  </si>
  <si>
    <t>ENFERMERA</t>
  </si>
  <si>
    <t>MATRONA</t>
  </si>
  <si>
    <t>NUTRICIONISTA</t>
  </si>
  <si>
    <t>ASISTENTE SOCIAL</t>
  </si>
  <si>
    <t>AUXILIAR</t>
  </si>
  <si>
    <t xml:space="preserve">  LOS  ANDES</t>
  </si>
  <si>
    <t xml:space="preserve">  CALLE  LARGA</t>
  </si>
  <si>
    <t xml:space="preserve">  PROVINCIA    DE LOS   ANDES</t>
  </si>
  <si>
    <t xml:space="preserve">  SAN  FELIPE</t>
  </si>
  <si>
    <t xml:space="preserve"> HOSP. PSIQUIATRICO</t>
  </si>
  <si>
    <t xml:space="preserve">  LLAY  LLAY</t>
  </si>
  <si>
    <t xml:space="preserve">  PROVINCIA    DE  SAN  FELIPE</t>
  </si>
  <si>
    <t>PROGRAMA    ADOLESCENTE  NIVEL  PRIMARIO</t>
  </si>
  <si>
    <t>PROGRAMA    DE  LA  MUJER   NIVEL  PRIMARIO</t>
  </si>
  <si>
    <t>PROGRAMA    DEL  ADULTO   NIVEL  PRIMARIO</t>
  </si>
  <si>
    <t>PROGRAMA    DEL  ADULTO  MAYOR   NIVEL  PRIMARIO</t>
  </si>
  <si>
    <t>CONSOLIDADO   NIVEL  PRIMARIO</t>
  </si>
  <si>
    <t xml:space="preserve"> CONSULTAS   DE  PSICOLOGO   EN  EL  NIVEL  PRIMARIO  Y  SECUNDARIO
 SALUD  MENTAL      PSICODIAGNOSTICO Y  PSICOTERAPIA</t>
  </si>
  <si>
    <t>INFANTIL</t>
  </si>
  <si>
    <t>ADOLESCENTE</t>
  </si>
  <si>
    <t>ADULTO</t>
  </si>
  <si>
    <t>ADULTO MAYOR</t>
  </si>
  <si>
    <t xml:space="preserve"> HOSP. LOS  ANDES</t>
  </si>
  <si>
    <t xml:space="preserve"> HOSP. SAN FELIPE(CIMSO)</t>
  </si>
  <si>
    <t xml:space="preserve"> CONSULTAS   MEDICAS  NIVEL  PRIMARIO   POR  PROGRAMA</t>
  </si>
  <si>
    <t>MATERNAL</t>
  </si>
  <si>
    <t>ADULTO  MAYOR</t>
  </si>
  <si>
    <t>SALUD  MENTAL</t>
  </si>
  <si>
    <t>CONS. IRA</t>
  </si>
  <si>
    <t xml:space="preserve"> CONS. Nº 1  (M)</t>
  </si>
  <si>
    <t xml:space="preserve"> CONS. Nº 2</t>
  </si>
  <si>
    <t xml:space="preserve"> CONS. S. ESTEBAN</t>
  </si>
  <si>
    <t xml:space="preserve"> CONS. CALLE  LARGA</t>
  </si>
  <si>
    <t xml:space="preserve"> CONS. RINCONADA</t>
  </si>
  <si>
    <t xml:space="preserve"> CONS. SAN FELIPE</t>
  </si>
  <si>
    <t xml:space="preserve"> CONS. SAN FELIPE N° 2</t>
  </si>
  <si>
    <t xml:space="preserve"> CONS. PUTAENDO</t>
  </si>
  <si>
    <t xml:space="preserve"> CONS. STA. MARIA</t>
  </si>
  <si>
    <t xml:space="preserve"> CONS. PANQUEHUE</t>
  </si>
  <si>
    <t xml:space="preserve"> CONS.  CATEMU</t>
  </si>
  <si>
    <t>NUMERO  DE  CONSULTAS    POR  ESTABLECIMIENTOS</t>
  </si>
  <si>
    <t>PROGRAMA  INFANTIL  NIVEL  SECUNDARIO</t>
  </si>
  <si>
    <t xml:space="preserve"> CONSULTAS  MEDICAS</t>
  </si>
  <si>
    <t xml:space="preserve"> ESPECIALIDAD</t>
  </si>
  <si>
    <t xml:space="preserve"> HOSP. SAN  FELIPE</t>
  </si>
  <si>
    <t xml:space="preserve"> HOSP. LLAY  LLAY</t>
  </si>
  <si>
    <t xml:space="preserve"> PEDIATRIA</t>
  </si>
  <si>
    <t xml:space="preserve"> MEDICINA INTERNA  </t>
  </si>
  <si>
    <t xml:space="preserve"> NEONATOLOGIA</t>
  </si>
  <si>
    <t xml:space="preserve"> BRONCOPULMONAR</t>
  </si>
  <si>
    <t xml:space="preserve"> CARDIOLOGIA</t>
  </si>
  <si>
    <t xml:space="preserve"> ENDOCRINOLOGIA</t>
  </si>
  <si>
    <t xml:space="preserve"> GASTROENTEROLOGIA</t>
  </si>
  <si>
    <t xml:space="preserve"> HEMATOLOGIA</t>
  </si>
  <si>
    <t xml:space="preserve"> NEFROLOGIA</t>
  </si>
  <si>
    <t xml:space="preserve"> REUMATOLOGIA</t>
  </si>
  <si>
    <t xml:space="preserve"> DERMATOLOGIA</t>
  </si>
  <si>
    <t xml:space="preserve"> ENFER. TRANS. SEXUAL</t>
  </si>
  <si>
    <t xml:space="preserve"> NEUROLOGIA</t>
  </si>
  <si>
    <t xml:space="preserve"> PSIQUIATRIA</t>
  </si>
  <si>
    <t xml:space="preserve"> CIRUGIA</t>
  </si>
  <si>
    <t xml:space="preserve"> CIRUGIA  MAMA</t>
  </si>
  <si>
    <t xml:space="preserve"> CIRUGIA  PLASTICA</t>
  </si>
  <si>
    <t xml:space="preserve"> NEUROCIRUGIA</t>
  </si>
  <si>
    <t xml:space="preserve"> OBSTETRICIA</t>
  </si>
  <si>
    <t xml:space="preserve"> GINECOLOGIA</t>
  </si>
  <si>
    <t xml:space="preserve"> OFTALMOLOGIA</t>
  </si>
  <si>
    <t xml:space="preserve"> OTORRINOLARINGOLOGIA</t>
  </si>
  <si>
    <t xml:space="preserve"> TRAUMATOLOGIA</t>
  </si>
  <si>
    <t xml:space="preserve"> UROLOGIA</t>
  </si>
  <si>
    <t xml:space="preserve"> MEDICINA FISICA Y REHABILITA.</t>
  </si>
  <si>
    <t xml:space="preserve">  OTRAS ATENCIONES  PROFESIONALES</t>
  </si>
  <si>
    <t xml:space="preserve">  ENFERMERA</t>
  </si>
  <si>
    <t xml:space="preserve">  MATRONA</t>
  </si>
  <si>
    <t xml:space="preserve">  NUTRICIONISTA</t>
  </si>
  <si>
    <t xml:space="preserve">  PSICOLOGOS</t>
  </si>
  <si>
    <t xml:space="preserve">  FONOAUDIOLOGO</t>
  </si>
  <si>
    <t xml:space="preserve">  KINESIOLOGO</t>
  </si>
  <si>
    <t xml:space="preserve"> TERAPEUTA OCUPACIONAL</t>
  </si>
  <si>
    <t xml:space="preserve"> TECNOLOGO  MEDICO</t>
  </si>
  <si>
    <t xml:space="preserve">  ASISTENTE  SOCIAL</t>
  </si>
  <si>
    <t>PROGRAMA  ADOLESCENTE  NIVEL  SECUNDARIO</t>
  </si>
  <si>
    <t>CARDIOLOGIA</t>
  </si>
  <si>
    <t>PROGRAMA  ADULTO  NIVEL  SECUNDARIO</t>
  </si>
  <si>
    <t>CONSULTORIO SAN FELIPE</t>
  </si>
  <si>
    <t>PROGRAMA  ADULTO  MAYOR  NIVEL  SECUNDARIO</t>
  </si>
  <si>
    <t>CONSOLIDADO  NIVEL  SECUNDARIO</t>
  </si>
  <si>
    <t>ESPECIALIDAD</t>
  </si>
  <si>
    <t>Nº 1</t>
  </si>
  <si>
    <t>Nº 2</t>
  </si>
  <si>
    <t xml:space="preserve"> CURIMON</t>
  </si>
  <si>
    <t xml:space="preserve"> SAN FELIPE N° 2</t>
  </si>
  <si>
    <t xml:space="preserve"> LLAILLAY</t>
  </si>
  <si>
    <t xml:space="preserve"> SANTA MARIA</t>
  </si>
  <si>
    <t>&lt; 15  años</t>
  </si>
  <si>
    <t>&gt; 15  años</t>
  </si>
  <si>
    <t>PediatrÍa</t>
  </si>
  <si>
    <t>Med. Interna</t>
  </si>
  <si>
    <t>Neonatologia</t>
  </si>
  <si>
    <t xml:space="preserve">Broncopulmonar </t>
  </si>
  <si>
    <t xml:space="preserve">Cardiología </t>
  </si>
  <si>
    <t xml:space="preserve">Endocrinología </t>
  </si>
  <si>
    <t xml:space="preserve">Gastroenterología </t>
  </si>
  <si>
    <t xml:space="preserve">Genetica </t>
  </si>
  <si>
    <t>Hematología</t>
  </si>
  <si>
    <t xml:space="preserve">Nefrología </t>
  </si>
  <si>
    <t xml:space="preserve">Nutricion </t>
  </si>
  <si>
    <t>Reumatología</t>
  </si>
  <si>
    <t xml:space="preserve">Dermatología </t>
  </si>
  <si>
    <t xml:space="preserve">Enf. Trasmisión Sexual </t>
  </si>
  <si>
    <t>Geriatría</t>
  </si>
  <si>
    <t xml:space="preserve">Med. Física y Rehabilit. </t>
  </si>
  <si>
    <t xml:space="preserve">Neurología </t>
  </si>
  <si>
    <t>Oncología Adulto</t>
  </si>
  <si>
    <t xml:space="preserve">Psiquiatría </t>
  </si>
  <si>
    <t>Infectologia</t>
  </si>
  <si>
    <t>Cirugía Infantil</t>
  </si>
  <si>
    <t>Cirugía Adulto</t>
  </si>
  <si>
    <t xml:space="preserve">Cirugía Abdominal </t>
  </si>
  <si>
    <t>Cirugía de Mamas</t>
  </si>
  <si>
    <t xml:space="preserve">Cirugía Maxilo Facial </t>
  </si>
  <si>
    <t>Cirugía Plástica</t>
  </si>
  <si>
    <t>Cirugía Proctológica</t>
  </si>
  <si>
    <t>Cirugía Tórax</t>
  </si>
  <si>
    <t>Cirugía Vascular Periférica</t>
  </si>
  <si>
    <t xml:space="preserve">Neurocirugía </t>
  </si>
  <si>
    <t xml:space="preserve">Cardiocirugía </t>
  </si>
  <si>
    <t>Anestesiología</t>
  </si>
  <si>
    <t xml:space="preserve">Obstetricia </t>
  </si>
  <si>
    <t xml:space="preserve">Ginecología </t>
  </si>
  <si>
    <t>Oftalmología</t>
  </si>
  <si>
    <t>Otorrinolaringología</t>
  </si>
  <si>
    <t>Salud  Ocupacional</t>
  </si>
  <si>
    <t xml:space="preserve">Traumatología </t>
  </si>
  <si>
    <t xml:space="preserve">Urología </t>
  </si>
  <si>
    <t>Medicina  Familiar</t>
  </si>
  <si>
    <t>Intercon
sultas APS</t>
  </si>
  <si>
    <t>TOTAL 
CONSULTAS</t>
  </si>
  <si>
    <t>CONSULTAS  NUEVAS</t>
  </si>
  <si>
    <t>PORCENTAJE  DE 
 COBERTURA</t>
  </si>
  <si>
    <t>APS</t>
  </si>
  <si>
    <t>CAE/CDT</t>
  </si>
  <si>
    <t>URGENCIA</t>
  </si>
  <si>
    <t>SERVICIO  DE  SALUD  ACONCAGUA</t>
  </si>
  <si>
    <t>PRESTACIONES</t>
  </si>
  <si>
    <t xml:space="preserve">PATOLOGIAS   GES </t>
  </si>
  <si>
    <t>PERSONAS
ATENDIDAS</t>
  </si>
  <si>
    <t>HOSP. 
SAN  CAMILO</t>
  </si>
  <si>
    <t>HOSP. 
LOS  ANDES</t>
  </si>
  <si>
    <t>HOSP. 
LLAY LLAY</t>
  </si>
  <si>
    <t>HOSP. 
PSIQUIATRICO</t>
  </si>
  <si>
    <t>HOSP. 
PUTAENDO</t>
  </si>
  <si>
    <t>01.- INSUFICIENCIA RENAL CRONICA TERMINAL</t>
  </si>
  <si>
    <t>02.- CARDIOPATÍAS CONGÉNITAS OPERABLES en menores de 15 años</t>
  </si>
  <si>
    <t>03.- CANCER CERVICOUTERINO</t>
  </si>
  <si>
    <t>04.- CUIDADOS PALIATIVOS CÁNCER TERMINAL</t>
  </si>
  <si>
    <t>05.- INFARTO AGUDO DEL MIOCARDIO IAM</t>
  </si>
  <si>
    <t>06.- DIABETES MELLITUS TIPO 1</t>
  </si>
  <si>
    <t>07.- DIABETES MELLITUS TIPO 2</t>
  </si>
  <si>
    <t>08.- CÁNCER DE MAMA en personas de 15 años y más</t>
  </si>
  <si>
    <t>09.- DISRAFIAS ESPINALES</t>
  </si>
  <si>
    <t>10.- ESCOLIOSIS (trat. quirúrgico en menores de 25 años)</t>
  </si>
  <si>
    <t>11.- CATARATAS que requieren trat. Quirúrgico</t>
  </si>
  <si>
    <t>12.- PROBLEMAS DE SALUD QUE REQUIEREN PRÓTESIS DE CADERA TOTAL</t>
  </si>
  <si>
    <t>13.- FISURA LABIOPALATINA</t>
  </si>
  <si>
    <t>14.- CÁNCER en menores de 15 años</t>
  </si>
  <si>
    <t>15.- ESQUIZOFRENIA</t>
  </si>
  <si>
    <t>16.- CANCER TESTÍCULO en personas de 15 años y más</t>
  </si>
  <si>
    <t>17.- LINFOMAS en personas de 15 años y más</t>
  </si>
  <si>
    <t>18.- VIH (Tratamiento triterapia)</t>
  </si>
  <si>
    <t>19.- INFECCIÓN RESPIRATORIA  AGUDA</t>
  </si>
  <si>
    <t>20.- NEUMONIA</t>
  </si>
  <si>
    <t>21.- HIPERTENSIÓN ARTERIAL ESENCIAL</t>
  </si>
  <si>
    <t>22.- EPILEPSIA  NO  REFRACTARIA</t>
  </si>
  <si>
    <t>23.- SALUD  ORAL</t>
  </si>
  <si>
    <t xml:space="preserve">24.- PREMATUREZ (Displasia Broncopulmonar) </t>
  </si>
  <si>
    <t xml:space="preserve">24.- PREMATUREZ (Hipoacusia) </t>
  </si>
  <si>
    <t xml:space="preserve">24.- PREMATUREZ (Prevención parto prematuro) </t>
  </si>
  <si>
    <t xml:space="preserve">24.- PREMATUREZ (Retinopatía) </t>
  </si>
  <si>
    <t>25.- TRASTORNOS DE CONDUCCIÓN: MARCAPASO en personas 15ay más</t>
  </si>
  <si>
    <t>26.- COLECISTECTOMIA PREVENTIVA CANCER VESICULA (35 a 49 años sintomáticos)</t>
  </si>
  <si>
    <t xml:space="preserve"> CIRUGIA MAXILO FACIAL </t>
  </si>
  <si>
    <t>27.- CANCER GÁSTRICO</t>
  </si>
  <si>
    <t>28.- CANCER DE PRÓSTATA en personas de 15 años y más</t>
  </si>
  <si>
    <t>29.- VICIOS DE REFRACCION en personas de 65 años y más</t>
  </si>
  <si>
    <t>30.- ESTRABISMO en menores de 9 años</t>
  </si>
  <si>
    <t>31.- RETINOPATIA DIABETICA</t>
  </si>
  <si>
    <t>32.- DESPRENDIMIENTO DE RETINA REGMATOGENO NO TRAUMATICO</t>
  </si>
  <si>
    <t>33.- HEMOFILIA</t>
  </si>
  <si>
    <t>34.- DEPRESION en personas de 15 años y más</t>
  </si>
  <si>
    <t>35.- TTO. QUIRURGICO DE LA HIPERPLASIA BENIGNA  PROSTATA en personas sintomáticas</t>
  </si>
  <si>
    <t>36.- ORTESIS para personas de 65 años y más</t>
  </si>
  <si>
    <t>37.- ACCIDENTE CEREBROVASCULAR ISQUEMICO  (15 años y más)</t>
  </si>
  <si>
    <t>38.- ENF. PULMONAR OBSTRUCTIVA CRONICA DE TRAT. AMBULATORIO</t>
  </si>
  <si>
    <t>39.- ASMA BRONQUIAL MODERADA Y SEVERA en menores de 15 años</t>
  </si>
  <si>
    <t>40.- SINDROME DIFICULTAD RESPIRATORIA EN EL RECIEN NACIDO</t>
  </si>
  <si>
    <t>41.- TRAT.MÉDICO EN PERSONAS DE 55 AÑOS Y MÁS CON ARTROSIS DE
       CADERA Y/O RODILLA, LEVE O MODERADA</t>
  </si>
  <si>
    <t>42.- HEMORRAGIA SUBARACNOIDEA SECUNDARIA A RUPTURA DE 
       ANEURISMAS CEREBRALES</t>
  </si>
  <si>
    <t>43.- TRATAMIENTO QUIRURGICO TUMORES PRIMARIOS DEL SISTEMA
       NERVIOSO CENTRAL EN PERSONAS DE 15 AÑOS Y MÁS</t>
  </si>
  <si>
    <t>44.- HERNIA NUCLEO PULPOSO LUMBAR</t>
  </si>
  <si>
    <t>45.- LEUCEMIA EN PERSONAS DE 15 AÑOS Y MÁS</t>
  </si>
  <si>
    <t>46.- URGENCIAS ODONTOLÓGICOS AMBULATORIAS</t>
  </si>
  <si>
    <t>47.- ATENCIÓN ODONTOLÓGICA EN PERSONAS DE 60 AÑOS</t>
  </si>
  <si>
    <t>48.- POLITRAUMATIZADO GRAVE CON LESION MEDULAR</t>
  </si>
  <si>
    <t>48.- POLITRAUMATIZADO GRAVE SIN LESION MEDULAR</t>
  </si>
  <si>
    <t>49.- ATENCIÓN DE URGENCIA DEL TRAUMATISMO CRÁNEO ENCEFÁLICO 
       MODERADO O GRAVE</t>
  </si>
  <si>
    <t>50.- TRAUMA OCULAR GRAVE</t>
  </si>
  <si>
    <t>51.- FIBROSIS QUÍSTICA</t>
  </si>
  <si>
    <t>52.- ARTRITIS REUMATOIDEA</t>
  </si>
  <si>
    <t>53.- CONSUMO PERJUDICIAL Y DEPENDENCIA DE ALCOHOL Y DROGAS EN
       MENORES DE 20 AÑOS</t>
  </si>
  <si>
    <t>54.- ANALGESIA DEL PARTO</t>
  </si>
  <si>
    <t>55.- GRAN QUEMADO</t>
  </si>
  <si>
    <t>56.- HIPOACUSIA BILATERAL EN PERSONAS DE 65 AÑOS Y MÁS QUE
       REQUIEREN USO DE AUDÍFONO</t>
  </si>
  <si>
    <t xml:space="preserve">  ESTABLECIMIENTOS</t>
  </si>
  <si>
    <t>RECLAMOS
RECIBIDOS</t>
  </si>
  <si>
    <t>SUGERENCIAS
RECIBIDAS</t>
  </si>
  <si>
    <t>FELICITACIONES
RECIBIDAS</t>
  </si>
  <si>
    <t>RECLAMOS
RESPONDIDOS  N° y  %</t>
  </si>
  <si>
    <t xml:space="preserve"> Hospital Los Andes</t>
  </si>
  <si>
    <t xml:space="preserve"> CES Cordillera</t>
  </si>
  <si>
    <t xml:space="preserve"> CES Centenario</t>
  </si>
  <si>
    <t xml:space="preserve"> Consultorio San Esteban</t>
  </si>
  <si>
    <t xml:space="preserve"> Consultorio Calle Larga</t>
  </si>
  <si>
    <t xml:space="preserve"> Consultorio Rinconada</t>
  </si>
  <si>
    <t xml:space="preserve"> Hospital San Camilo</t>
  </si>
  <si>
    <t xml:space="preserve"> Consultorio San Felipe</t>
  </si>
  <si>
    <t xml:space="preserve"> Consultorio San Felipe n° 2</t>
  </si>
  <si>
    <t xml:space="preserve"> Consultorio Curimon</t>
  </si>
  <si>
    <t xml:space="preserve"> Hospital Putaendo</t>
  </si>
  <si>
    <t xml:space="preserve"> Consultorio de Putaendo</t>
  </si>
  <si>
    <t xml:space="preserve"> Hospital PSiquiatrico</t>
  </si>
  <si>
    <t xml:space="preserve"> Consultorio de Santa Maria</t>
  </si>
  <si>
    <t xml:space="preserve"> Consultorio de Panquehue</t>
  </si>
  <si>
    <t xml:space="preserve"> Consultorio de Llay Llay</t>
  </si>
  <si>
    <t xml:space="preserve"> Consultorio de Catemu</t>
  </si>
  <si>
    <t xml:space="preserve"> CONSULTAS   MEDICAS  NIVEL PRIMARIO  POR  ESTABLECIMIENTOS</t>
  </si>
  <si>
    <t>Población</t>
  </si>
  <si>
    <t>Ssalud</t>
  </si>
  <si>
    <t>Los  Andes</t>
  </si>
  <si>
    <t>san  esteban</t>
  </si>
  <si>
    <t>Calle  larga</t>
  </si>
  <si>
    <t>Prov.Los  andes</t>
  </si>
  <si>
    <t xml:space="preserve"> CONS. L.A. Nº 1  (M)</t>
  </si>
  <si>
    <t>san Felipe</t>
  </si>
  <si>
    <t xml:space="preserve"> CONS. L.A. Nº 2</t>
  </si>
  <si>
    <t>Sta. Maria</t>
  </si>
  <si>
    <t xml:space="preserve"> CONS. CALLE  LAR.</t>
  </si>
  <si>
    <t>llay llay</t>
  </si>
  <si>
    <t>catemu</t>
  </si>
  <si>
    <t>Prov.San felipe</t>
  </si>
  <si>
    <t xml:space="preserve">  PROVINCIA    DE SAN  FELIPE</t>
  </si>
  <si>
    <t>TASA  CONSULTA   MEDICO  HABITANTE  AÑO NIVEL PRIMARIO</t>
  </si>
  <si>
    <t>SEGÚN  COMUNA</t>
  </si>
  <si>
    <t xml:space="preserve"> PROGRAMA NACIONAL DE ALIMENTACION COMPLEMENTARIA</t>
  </si>
  <si>
    <t xml:space="preserve"> DISTRIBUCION  DE ALIMENTOS</t>
  </si>
  <si>
    <t>SUB-PROGRAMA</t>
  </si>
  <si>
    <t>ALIMENTOS</t>
  </si>
  <si>
    <t xml:space="preserve">  LECHE 26%</t>
  </si>
  <si>
    <t xml:space="preserve">   BASICO</t>
  </si>
  <si>
    <t xml:space="preserve">  L. CEREAL</t>
  </si>
  <si>
    <t xml:space="preserve"> PURITA MAMA</t>
  </si>
  <si>
    <t xml:space="preserve"> SUB-TOTAL</t>
  </si>
  <si>
    <t xml:space="preserve">   REFUERZO </t>
  </si>
  <si>
    <t xml:space="preserve">  MI  SOPITA</t>
  </si>
  <si>
    <t xml:space="preserve">  SUB-TOTAL</t>
  </si>
  <si>
    <t xml:space="preserve">   CON  RIESGO</t>
  </si>
  <si>
    <t xml:space="preserve">  TOTAL</t>
  </si>
  <si>
    <t>POBLACION</t>
  </si>
  <si>
    <t>PACAM</t>
  </si>
  <si>
    <t>LEPTOSPIROSIS</t>
  </si>
  <si>
    <t xml:space="preserve"> ECOGRAFIAS OBSTETRICAS</t>
  </si>
  <si>
    <t xml:space="preserve"> ECOTOMOGRAFIAS  ABDOMINAL</t>
  </si>
  <si>
    <t xml:space="preserve"> TOTAL  EMPA  TOMADOS   POR  SEXO   COMUNAS  Y  ESTABLECIMIENTOS</t>
  </si>
  <si>
    <t xml:space="preserve">  COMUNAS</t>
  </si>
  <si>
    <t xml:space="preserve">CONSULTORIO </t>
  </si>
  <si>
    <t>45 a 64 años</t>
  </si>
  <si>
    <t>65 y más</t>
  </si>
  <si>
    <t xml:space="preserve">Total  Empa
</t>
  </si>
  <si>
    <t xml:space="preserve">Pob.  Usuaria
</t>
  </si>
  <si>
    <t>Cobertura 
Pob.  Usuaria</t>
  </si>
  <si>
    <t>HOMBRES</t>
  </si>
  <si>
    <t>MUJERES</t>
  </si>
  <si>
    <t>VIGENTES</t>
  </si>
  <si>
    <t>20 - 64 AÑOS</t>
  </si>
  <si>
    <t xml:space="preserve"> PACIENTES    BAJO  CONTROL  SEGÚN  PATOLOGIA  DE  SALUD  MENTAL  </t>
  </si>
  <si>
    <t xml:space="preserve"> PATOLOGIA</t>
  </si>
  <si>
    <t>CONSULTORIOS</t>
  </si>
  <si>
    <t xml:space="preserve">Hosp. </t>
  </si>
  <si>
    <t xml:space="preserve"> CONS. L.A.
Nº 1 (M)</t>
  </si>
  <si>
    <t xml:space="preserve"> CONS. L.A.
Nº 2</t>
  </si>
  <si>
    <t xml:space="preserve">SAN 
ESTEBAN </t>
  </si>
  <si>
    <t xml:space="preserve">CALLE 
LARGA </t>
  </si>
  <si>
    <t>SAN FELIPE
N°  2</t>
  </si>
  <si>
    <t>Psiquiatrico</t>
  </si>
  <si>
    <t>VIOLENCIA   HACIA EL ADULTO MAYOR</t>
  </si>
  <si>
    <t>MALTRATO INFANTIL</t>
  </si>
  <si>
    <t>ABUSO SEXUAL</t>
  </si>
  <si>
    <t>DEPRESIÓN POST PARTO</t>
  </si>
  <si>
    <t>TRASTORNO BIPOLAR</t>
  </si>
  <si>
    <t>CONSUMO RIESGOSO DE DROGAS</t>
  </si>
  <si>
    <t>DEPRESIÓN LEVE</t>
  </si>
  <si>
    <t>DEPRESIÓN MODERADA</t>
  </si>
  <si>
    <t>DEPRESIÓN GRAVE</t>
  </si>
  <si>
    <t>ALCOHOL COMO DROGA PRINCIPAL (AUDIT mayor  16)</t>
  </si>
  <si>
    <t>NÚMERO DE PACIENTES EN CONTROL
 EN EL PROGRAMA</t>
  </si>
  <si>
    <t>CECOF
SAN.FELIPE</t>
  </si>
  <si>
    <t>20 a 24 años</t>
  </si>
  <si>
    <t>25 a 44 años</t>
  </si>
  <si>
    <t xml:space="preserve"> CESFAM  LLAY  LLAY</t>
  </si>
  <si>
    <t>INTERCONSULTAS</t>
  </si>
  <si>
    <t>RESOLUTIVIDAD</t>
  </si>
  <si>
    <t>ODONTOLOGO</t>
  </si>
  <si>
    <t>CONSULTAS</t>
  </si>
  <si>
    <t>CONSULTAS *</t>
  </si>
  <si>
    <t>Nota: Consultas * =  Primeras consultas  mas consultas  urgencia</t>
  </si>
  <si>
    <t>INTERCONSULTAS /
cons. NUEVAS APS</t>
  </si>
  <si>
    <t>CONSULTAS NUEVAS/TOTAL CONS.</t>
  </si>
  <si>
    <t xml:space="preserve">Tasa de Mortalidad Materna  Tardia    =  </t>
  </si>
  <si>
    <t>Los Andes N° 1</t>
  </si>
  <si>
    <t xml:space="preserve"> CECOF  S. ESTEBAN</t>
  </si>
  <si>
    <t xml:space="preserve"> CECOF  CATEMU</t>
  </si>
  <si>
    <t xml:space="preserve">Número de mujeres fallecidas ,ocurrida después  de los  42 días  pero antes  de  
un  año de  la  terminación  del embarazo    por cada  1.000 nacidos  vivos.  </t>
  </si>
  <si>
    <t xml:space="preserve">RESONANCIA MAGNÉTICA </t>
  </si>
  <si>
    <t>QUIMICO FARMACEUTICO</t>
  </si>
  <si>
    <t>FETO Y RN ENF. INFEC. Y PAR  MADRE</t>
  </si>
  <si>
    <t xml:space="preserve"> CECOF LO  CALVO</t>
  </si>
  <si>
    <t xml:space="preserve"> CECOF CATEMU</t>
  </si>
  <si>
    <t xml:space="preserve"> KINESIOLOGO</t>
  </si>
  <si>
    <t>CONSUMO BAJOP DE ALCOHOL (AUDITc:H 4o -M 3o -PTOS)</t>
  </si>
  <si>
    <t>CONSUMO BAJOP DE ALCOHOL (AUDIT C: 7 o  MENOS  PTOS)</t>
  </si>
  <si>
    <t>TRASTORNOS CONDUCTUALES ASOCIADOS A DEMENCIA</t>
  </si>
  <si>
    <t xml:space="preserve"> POSTAS S. ESTEBAN</t>
  </si>
  <si>
    <t xml:space="preserve"> POSTAS  L.A. Nº 1 (M)</t>
  </si>
  <si>
    <t xml:space="preserve"> POSTA CALLE LARGA</t>
  </si>
  <si>
    <t xml:space="preserve"> POSTAS  PUTAENDO</t>
  </si>
  <si>
    <t xml:space="preserve"> POSTAS  STA. MARIA</t>
  </si>
  <si>
    <t>Número de partos dividido por población femenina de 15 a 49 años</t>
  </si>
  <si>
    <t xml:space="preserve">CECOF
ESTEBAN </t>
  </si>
  <si>
    <t>SOLICITUDES</t>
  </si>
  <si>
    <t>SOLICITUDES
LEY 20285</t>
  </si>
  <si>
    <t xml:space="preserve"> POSTA RIO BLANCO</t>
  </si>
  <si>
    <t xml:space="preserve"> CECOF. ESTEBAN</t>
  </si>
  <si>
    <t xml:space="preserve"> POSTAS  S. ESTEBAN</t>
  </si>
  <si>
    <t xml:space="preserve"> PRAIS</t>
  </si>
  <si>
    <t xml:space="preserve"> POSTAS  CALLE LARGA</t>
  </si>
  <si>
    <t xml:space="preserve"> CECOF S. ESTEBAN</t>
  </si>
  <si>
    <t>PRAIS</t>
  </si>
  <si>
    <t>CONS. LOS ANDES N°1 MUNICIPAL</t>
  </si>
  <si>
    <t>Fuente  :  INE 2002</t>
  </si>
  <si>
    <t>Nota: *  Proyección  Censo  2002</t>
  </si>
  <si>
    <t xml:space="preserve">        TASA        POR  1.000  hab.</t>
  </si>
  <si>
    <t>Endodoncia</t>
  </si>
  <si>
    <t>Rehabilitación Oral</t>
  </si>
  <si>
    <t>Rehabilitación Oral  Fija</t>
  </si>
  <si>
    <t>Cirugía Bucal y Traumatología Máxilo Facial</t>
  </si>
  <si>
    <t>Odontopediatría</t>
  </si>
  <si>
    <t>Ortodoncia</t>
  </si>
  <si>
    <t>Periodoncia</t>
  </si>
  <si>
    <t>Trastornos Temporo mandibulares</t>
  </si>
  <si>
    <t>ODONTOLOGIA</t>
  </si>
  <si>
    <t xml:space="preserve"> CECOF  S. ESTEB</t>
  </si>
  <si>
    <t xml:space="preserve"> CECOF S. FELIPE </t>
  </si>
  <si>
    <t>70.- Cáncer de colon o colorectal en personas de 15 años y más</t>
  </si>
  <si>
    <t>71.- Cancer de ovario epitelial en personas de 15 años y más</t>
  </si>
  <si>
    <t>72.- CANCER VESICAL (caves) EN PERSONAS DE 15 AÑOS Y MÁS</t>
  </si>
  <si>
    <t>73.- Osteosarcoma en personas de 15 años y más</t>
  </si>
  <si>
    <t>74.- Tratamiento quirúrgico de lesiones de la válvula aórtica en personas de 15 años y más</t>
  </si>
  <si>
    <t>75.- Trastorno bipolar en personas de 15 años y más</t>
  </si>
  <si>
    <t>76.- Hipotiroidismo mayores de 15 años</t>
  </si>
  <si>
    <t xml:space="preserve">77.- TRATAMIENTO DE  HIPOACUSIA MODERA EN MENORES DE 2 AÑOS </t>
  </si>
  <si>
    <t>78.- LUPUS ERITEMATOSO SISTÉMICO</t>
  </si>
  <si>
    <t>79.- Tratamiento quirúrgico de lesiones de las válvulas mitral y tricuspide en personas de 15 años y más</t>
  </si>
  <si>
    <t>80.- TRATAMIENTO DE ERRADICACIÓN DEL HELICOBACTER PYLORI</t>
  </si>
  <si>
    <t>Depto. de Salud de la Municipalidad de san felipe</t>
  </si>
  <si>
    <t>HOSP.  LLAY LLAY</t>
  </si>
  <si>
    <t>CECOF
LOS ANDES</t>
  </si>
  <si>
    <t>CECOF
CATEMU</t>
  </si>
  <si>
    <t>CATEGORIZACION</t>
  </si>
  <si>
    <t>C1</t>
  </si>
  <si>
    <t>C2</t>
  </si>
  <si>
    <t>C3</t>
  </si>
  <si>
    <t>C4</t>
  </si>
  <si>
    <t>C5</t>
  </si>
  <si>
    <t>SIN CATEG.</t>
  </si>
  <si>
    <t>CONS. SUR
MUNICIPALES</t>
  </si>
  <si>
    <t>falta  egreso  1137</t>
  </si>
  <si>
    <t>BEBIDA LACTEA</t>
  </si>
  <si>
    <t xml:space="preserve"> PROGRAMA ADULTO  MAYOR  KILOS  DISTRIBUIDOS</t>
  </si>
  <si>
    <t>Pobl. según País , Región , Serv. Salud y Comunas 2005 - 2014............</t>
  </si>
  <si>
    <t>Pobl. Total Serv. Salud según localidad y grupos  etáreos  2014.............</t>
  </si>
  <si>
    <t>Pobl. Femenina  Serv. Salud   2014........................................................</t>
  </si>
  <si>
    <t>Pirámide de Población  1993  -  2014....................................................</t>
  </si>
  <si>
    <t>Crecimiento vegetativo  Servicio de Salud y Comunas  2005 - 2014.........</t>
  </si>
  <si>
    <t>Dotación servicio de  Salud  Diciembre  2014 ............................................</t>
  </si>
  <si>
    <t>Dotación Funcionarios Municipales  Diciembre  2014 ............................................</t>
  </si>
  <si>
    <t>Natalidad según País , Región y Comunas 2005 - 2014 .........................</t>
  </si>
  <si>
    <t>Mort. Fetal según País , Región y Comunas 2005 - 2014........................</t>
  </si>
  <si>
    <t>Mort. Perinatal según País , Región y Comunas 2005 - 2014..................</t>
  </si>
  <si>
    <t>Mort. Neo-Precóz según País , Región y Comunas 2005 - 2014..............</t>
  </si>
  <si>
    <t>Mort. Neonatal según País , Región y Comunas 2005 - 2014..................</t>
  </si>
  <si>
    <t>Mort. Inf.  Tardía según País , Región y Comunas 2005 - 2014................</t>
  </si>
  <si>
    <t>Mort. Infantil según País , Región y Comunas 2005 - 2014......................</t>
  </si>
  <si>
    <t>Mort. Materna según País , Región y Comunas 2005 - 2014....................</t>
  </si>
  <si>
    <t>Mort. General según País , Región y Comunas 2005 - 2014...................</t>
  </si>
  <si>
    <t>Años  de  vida  Potencialmente  perdidos AVPP año  2014....................</t>
  </si>
  <si>
    <t>Est. nut. embarazada al  31 de Diciembre 2003 -  2014.........................</t>
  </si>
  <si>
    <t>Consultas Médicas  2005 - 2014......................................</t>
  </si>
  <si>
    <t>Índice consulta  urgencia  2010 a 2014 .................................................</t>
  </si>
  <si>
    <t>Interv. Quir. por  Establecimientos   2013  - 2014.................</t>
  </si>
  <si>
    <t>Exa. de Diagnostico por Establecimientos años  2013 - 2014.................</t>
  </si>
  <si>
    <t>Egresos  Hospitalarios por causa y Comunas  2014...............................</t>
  </si>
  <si>
    <t>Egresos  Hospitalarios por causa y grupos etáreos 2014........................</t>
  </si>
  <si>
    <t>Egresos  Hospitalarios por causa y Establecimientos 2014.....................</t>
  </si>
  <si>
    <t>Egresos  Hospital Los  Andes por causa y Comunas  2014..............................</t>
  </si>
  <si>
    <t>Egresos  Hospital Llay  llay por causa y Comunas  2014..............................</t>
  </si>
  <si>
    <t>Egresos  Hospital Putaendo por causa y Comunas  2014..............................</t>
  </si>
  <si>
    <t>Egresos  Hospital Psiquiatrico por causa y Comunas  2014..............................</t>
  </si>
  <si>
    <t>Egresos  Hospital San Camilo por causa y Comunas  2014..............................</t>
  </si>
  <si>
    <t>SERVICIO DE SALUD   ACONCAGUA  2014</t>
  </si>
  <si>
    <t>AÑOS   2005  - 2014</t>
  </si>
  <si>
    <t>SERVICIO DE SALUD   ACONCAGUA   2014</t>
  </si>
  <si>
    <t>DICIEMBRE    2014</t>
  </si>
  <si>
    <t>VARIACION     DICIEMBRE    2013    -     2014</t>
  </si>
  <si>
    <t>2011 - 2014</t>
  </si>
  <si>
    <t>S.  REHABILITACION</t>
  </si>
  <si>
    <t>INTERCONSULTAS  MEDICAS  Y  ODONTOLOGICAS  GENERADAS  EN  ATENCION  PRIMARIA    2014</t>
  </si>
  <si>
    <t>Imagenología Oral y Maxilofacial</t>
  </si>
  <si>
    <t>Patología Oral</t>
  </si>
  <si>
    <t>Implantología Buco Maxilofacial</t>
  </si>
  <si>
    <t>INTERCONSULTAS  APS DERIVADAS AL NIVEL SECUNDARIO  Y  CONSULTAS  NUEVAS    ATENDIDAS  2014</t>
  </si>
  <si>
    <t xml:space="preserve">Cirugía de Mamas con Patologia </t>
  </si>
  <si>
    <t>Ginecología con Pat. Cerv</t>
  </si>
  <si>
    <t>Ginecología Infertilidad</t>
  </si>
  <si>
    <t>Ginecología  Infertilidad</t>
  </si>
  <si>
    <t>CONSULTAS NUEVAS APS/TOTAL CONS.</t>
  </si>
  <si>
    <t>RESOLUTIVIDAD   ATENCIÓN  MEDICA  Y  ODONTOLOGICA
                  EN      ATENCION   PRIMARIA   2014</t>
  </si>
  <si>
    <t>PERSONAS   ATENDIDAS  Y  PRESTACIONES  GES      2014</t>
  </si>
  <si>
    <t xml:space="preserve">       REGISTRO DE ATENCIONES OIRS  AÑO 2014</t>
  </si>
  <si>
    <t>2005  -  2014</t>
  </si>
  <si>
    <t>ACTOS   QUIRURGICOS  Y MISCELANEAS  POR ESTABLECIMIENTOS  2013  -  2014</t>
  </si>
  <si>
    <t>EXA. DE DIAGNOSTICO  Y  PROCEDIMIENTOS  POR  ESTABLECIMIENTOS   2013 -  2014</t>
  </si>
  <si>
    <t>2005  - 2014</t>
  </si>
  <si>
    <t>SEGUN    ESTABLECIMIENTOS    2014</t>
  </si>
  <si>
    <t>2010 -  2014</t>
  </si>
  <si>
    <t>SERVICIO DE SALUD   ACONCAGUA    2014</t>
  </si>
  <si>
    <t>2009  -  2014</t>
  </si>
  <si>
    <t>2008 - 2014</t>
  </si>
  <si>
    <t>AÑO   2014  :   DATOS POR OCURRENCIA   (Provisorios)</t>
  </si>
  <si>
    <t>AÑO 2014</t>
  </si>
  <si>
    <t>SERVICIO  DE SALUD   ACONCAGUA</t>
  </si>
  <si>
    <t>2009 - 2014</t>
  </si>
  <si>
    <t>2009 -  2014</t>
  </si>
  <si>
    <t xml:space="preserve"> U.T.I. PEDIATRIA</t>
  </si>
  <si>
    <t>Nota: no  incluye menor de 1 mes</t>
  </si>
  <si>
    <t>0 - &lt;7d</t>
  </si>
  <si>
    <t>CODIGO</t>
  </si>
  <si>
    <t>AREAS</t>
  </si>
  <si>
    <t xml:space="preserve"> AREA MED.Q-BASICA</t>
  </si>
  <si>
    <t xml:space="preserve"> AREA MED. QUIR. MED</t>
  </si>
  <si>
    <t xml:space="preserve"> PEDIATRIA BASICA</t>
  </si>
  <si>
    <t xml:space="preserve"> A.M.QUIR.PED. BAS.</t>
  </si>
  <si>
    <t xml:space="preserve"> HOSP. PUTAENDO</t>
  </si>
  <si>
    <t>Nota: 2010 Hospital redujo  camas  por  el  sismo</t>
  </si>
  <si>
    <t>Nota: Categorización  NO  incluye  urgencias  Obstetricas</t>
  </si>
  <si>
    <t>SERVICIO SALUD  ACONCAGUA   2014</t>
  </si>
  <si>
    <t>LEY  Nº  19,378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</si>
</sst>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2">
    <numFmt numFmtId="41" formatCode="_-* #,##0_-;\-* #,##0_-;_-* &quot;-&quot;_-;_-@_-"/>
    <numFmt numFmtId="164" formatCode="_(* #,##0.00_);_(* \(#,##0.00\);_(* &quot;-&quot;??_);_(@_)"/>
    <numFmt numFmtId="165" formatCode="0.0"/>
    <numFmt numFmtId="166" formatCode="#,##0.0"/>
    <numFmt numFmtId="167" formatCode="#,##0.0000"/>
    <numFmt numFmtId="168" formatCode="0.000"/>
    <numFmt numFmtId="169" formatCode="0.0_)"/>
    <numFmt numFmtId="170" formatCode="#.##0"/>
    <numFmt numFmtId="171" formatCode="#.###"/>
    <numFmt numFmtId="172" formatCode="#.000"/>
    <numFmt numFmtId="173" formatCode="#,##0.000"/>
    <numFmt numFmtId="174" formatCode="_-* #,##0_-;\-* #,##0_-;_-* &quot;-&quot;??_-;_-@_-"/>
  </numFmts>
  <fonts count="76">
    <font>
      <sz val="10"/>
      <name val="Arial"/>
    </font>
    <font>
      <b/>
      <sz val="10"/>
      <name val="Arial"/>
      <family val="2"/>
    </font>
    <font>
      <sz val="10"/>
      <name val="Arial"/>
      <family val="2"/>
    </font>
    <font>
      <b/>
      <sz val="10"/>
      <color indexed="56"/>
      <name val="Arial"/>
      <family val="2"/>
    </font>
    <font>
      <b/>
      <sz val="12"/>
      <color indexed="56"/>
      <name val="Arial"/>
      <family val="2"/>
    </font>
    <font>
      <sz val="10"/>
      <color indexed="56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sz val="10"/>
      <color indexed="10"/>
      <name val="Arial"/>
      <family val="2"/>
    </font>
    <font>
      <sz val="8"/>
      <name val="Arial"/>
      <family val="2"/>
    </font>
    <font>
      <sz val="7"/>
      <name val="Arial"/>
      <family val="2"/>
    </font>
    <font>
      <sz val="10"/>
      <color indexed="32"/>
      <name val="Arial"/>
      <family val="2"/>
    </font>
    <font>
      <b/>
      <sz val="10"/>
      <color indexed="10"/>
      <name val="Arial"/>
      <family val="2"/>
    </font>
    <font>
      <b/>
      <sz val="9"/>
      <color indexed="56"/>
      <name val="Arial"/>
      <family val="2"/>
    </font>
    <font>
      <b/>
      <sz val="8"/>
      <name val="Arial"/>
      <family val="2"/>
    </font>
    <font>
      <b/>
      <sz val="10"/>
      <name val="Arial"/>
      <family val="2"/>
    </font>
    <font>
      <b/>
      <sz val="7"/>
      <name val="Arial"/>
      <family val="2"/>
    </font>
    <font>
      <b/>
      <sz val="11"/>
      <color indexed="32"/>
      <name val="Arial"/>
      <family val="2"/>
    </font>
    <font>
      <b/>
      <sz val="12"/>
      <color indexed="62"/>
      <name val="Arial"/>
      <family val="2"/>
    </font>
    <font>
      <sz val="8"/>
      <name val="Arial"/>
      <family val="2"/>
    </font>
    <font>
      <b/>
      <sz val="9"/>
      <name val="Arial"/>
      <family val="2"/>
    </font>
    <font>
      <b/>
      <sz val="10"/>
      <color indexed="56"/>
      <name val="Arial"/>
      <family val="2"/>
    </font>
    <font>
      <b/>
      <sz val="10"/>
      <color indexed="62"/>
      <name val="Arial"/>
      <family val="2"/>
    </font>
    <font>
      <sz val="10"/>
      <color indexed="8"/>
      <name val="Arial"/>
      <family val="2"/>
    </font>
    <font>
      <b/>
      <sz val="12"/>
      <color indexed="56"/>
      <name val="Arial"/>
      <family val="2"/>
    </font>
    <font>
      <sz val="10"/>
      <color indexed="8"/>
      <name val="Arial"/>
      <family val="2"/>
    </font>
    <font>
      <b/>
      <sz val="10"/>
      <color indexed="18"/>
      <name val="Arial"/>
      <family val="2"/>
    </font>
    <font>
      <b/>
      <sz val="9"/>
      <color indexed="62"/>
      <name val="Arial"/>
      <family val="2"/>
    </font>
    <font>
      <sz val="10"/>
      <name val="Arial"/>
      <family val="2"/>
    </font>
    <font>
      <b/>
      <i/>
      <sz val="18"/>
      <color indexed="56"/>
      <name val="Arial Condensed Bold"/>
    </font>
    <font>
      <b/>
      <sz val="18"/>
      <color indexed="56"/>
      <name val="Arial Condensed Bold"/>
      <family val="2"/>
    </font>
    <font>
      <sz val="10"/>
      <color indexed="62"/>
      <name val="Arial"/>
      <family val="2"/>
    </font>
    <font>
      <sz val="12"/>
      <name val="Arial"/>
      <family val="2"/>
    </font>
    <font>
      <sz val="10"/>
      <color indexed="18"/>
      <name val="Arial"/>
      <family val="2"/>
    </font>
    <font>
      <sz val="9"/>
      <color indexed="8"/>
      <name val="Arial"/>
      <family val="2"/>
    </font>
    <font>
      <sz val="8"/>
      <color indexed="10"/>
      <name val="Arial"/>
      <family val="2"/>
    </font>
    <font>
      <sz val="10"/>
      <color indexed="10"/>
      <name val="Arial"/>
      <family val="2"/>
    </font>
    <font>
      <b/>
      <i/>
      <sz val="18"/>
      <name val="Arial Condensed Bold"/>
    </font>
    <font>
      <sz val="18"/>
      <name val="Arial Condensed Bold"/>
      <family val="2"/>
    </font>
    <font>
      <sz val="9"/>
      <name val="Arial"/>
      <family val="2"/>
    </font>
    <font>
      <sz val="6"/>
      <name val="Arial"/>
      <family val="2"/>
    </font>
    <font>
      <b/>
      <sz val="8"/>
      <color indexed="56"/>
      <name val="Arial"/>
      <family val="2"/>
    </font>
    <font>
      <b/>
      <sz val="8"/>
      <color indexed="62"/>
      <name val="Arial"/>
      <family val="2"/>
    </font>
    <font>
      <b/>
      <sz val="8"/>
      <name val="Arial"/>
      <family val="2"/>
    </font>
    <font>
      <b/>
      <sz val="9"/>
      <color indexed="62"/>
      <name val="Arial"/>
      <family val="2"/>
    </font>
    <font>
      <sz val="8"/>
      <name val="Verdana"/>
      <family val="2"/>
    </font>
    <font>
      <sz val="9"/>
      <name val="Verdana"/>
      <family val="2"/>
    </font>
    <font>
      <sz val="7"/>
      <name val="Arial"/>
      <family val="2"/>
    </font>
    <font>
      <b/>
      <sz val="12"/>
      <name val="Arial"/>
      <family val="2"/>
    </font>
    <font>
      <b/>
      <sz val="12"/>
      <name val="Century Gothic"/>
      <family val="2"/>
    </font>
    <font>
      <b/>
      <sz val="8"/>
      <name val="Century Gothic"/>
      <family val="2"/>
    </font>
    <font>
      <b/>
      <sz val="9"/>
      <color indexed="18"/>
      <name val="Arial"/>
      <family val="2"/>
    </font>
    <font>
      <sz val="11"/>
      <name val="Verdana"/>
      <family val="2"/>
    </font>
    <font>
      <sz val="8"/>
      <name val="Trebuchet MS"/>
      <family val="2"/>
    </font>
    <font>
      <sz val="10"/>
      <color indexed="9"/>
      <name val="Arial"/>
      <family val="2"/>
    </font>
    <font>
      <sz val="12"/>
      <name val="Arial"/>
      <family val="2"/>
    </font>
    <font>
      <sz val="10"/>
      <color indexed="48"/>
      <name val="Arial"/>
      <family val="2"/>
    </font>
    <font>
      <sz val="12"/>
      <name val="Helv"/>
    </font>
    <font>
      <b/>
      <sz val="10"/>
      <color indexed="39"/>
      <name val="Arial"/>
      <family val="2"/>
    </font>
    <font>
      <sz val="10"/>
      <name val="Helv"/>
    </font>
    <font>
      <sz val="9"/>
      <name val="Helv"/>
    </font>
    <font>
      <b/>
      <sz val="10"/>
      <color indexed="32"/>
      <name val="Arial"/>
      <family val="2"/>
    </font>
    <font>
      <sz val="8"/>
      <color indexed="62"/>
      <name val="Arial"/>
      <family val="2"/>
    </font>
    <font>
      <sz val="8"/>
      <color indexed="18"/>
      <name val="Arial"/>
      <family val="2"/>
    </font>
    <font>
      <sz val="18"/>
      <color indexed="56"/>
      <name val="Arial Condensed Bold"/>
      <family val="2"/>
    </font>
    <font>
      <sz val="18"/>
      <name val="Arial"/>
      <family val="2"/>
    </font>
    <font>
      <sz val="18"/>
      <color indexed="56"/>
      <name val="Arial"/>
      <family val="2"/>
    </font>
    <font>
      <sz val="8"/>
      <color indexed="8"/>
      <name val="Verdana"/>
      <family val="2"/>
    </font>
    <font>
      <sz val="9"/>
      <color indexed="8"/>
      <name val="Verdana"/>
      <family val="2"/>
    </font>
    <font>
      <b/>
      <sz val="8"/>
      <name val="Verdana"/>
      <family val="2"/>
    </font>
    <font>
      <b/>
      <sz val="10"/>
      <name val="Century Gothic"/>
      <family val="2"/>
    </font>
    <font>
      <sz val="10"/>
      <color rgb="FFFF0000"/>
      <name val="Arial"/>
      <family val="2"/>
    </font>
    <font>
      <sz val="8"/>
      <color rgb="FFFF0000"/>
      <name val="Arial"/>
      <family val="2"/>
    </font>
    <font>
      <sz val="10"/>
      <color theme="1"/>
      <name val="Arial"/>
      <family val="2"/>
    </font>
    <font>
      <sz val="9"/>
      <color rgb="FFFF0000"/>
      <name val="Arial"/>
      <family val="2"/>
    </font>
    <font>
      <sz val="8"/>
      <color theme="1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0"/>
        <bgColor indexed="64"/>
      </patternFill>
    </fill>
  </fills>
  <borders count="4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</borders>
  <cellStyleXfs count="11">
    <xf numFmtId="0" fontId="0" fillId="0" borderId="0"/>
    <xf numFmtId="164" fontId="2" fillId="0" borderId="0" applyFont="0" applyFill="0" applyBorder="0" applyAlignment="0" applyProtection="0"/>
    <xf numFmtId="0" fontId="2" fillId="0" borderId="0"/>
    <xf numFmtId="171" fontId="57" fillId="0" borderId="0"/>
    <xf numFmtId="0" fontId="2" fillId="0" borderId="0"/>
    <xf numFmtId="0" fontId="2" fillId="0" borderId="0"/>
    <xf numFmtId="0" fontId="2" fillId="0" borderId="0"/>
    <xf numFmtId="0" fontId="9" fillId="0" borderId="0"/>
    <xf numFmtId="0" fontId="15" fillId="0" borderId="0" applyFont="0" applyBorder="0" applyAlignment="0" applyProtection="0"/>
    <xf numFmtId="0" fontId="9" fillId="0" borderId="0"/>
    <xf numFmtId="0" fontId="1" fillId="0" borderId="0" applyFont="0" applyBorder="0" applyAlignment="0" applyProtection="0"/>
  </cellStyleXfs>
  <cellXfs count="1299">
    <xf numFmtId="0" fontId="0" fillId="0" borderId="0" xfId="0"/>
    <xf numFmtId="0" fontId="0" fillId="0" borderId="0" xfId="0" applyAlignment="1">
      <alignment horizontal="centerContinuous"/>
    </xf>
    <xf numFmtId="0" fontId="1" fillId="0" borderId="0" xfId="0" applyFont="1"/>
    <xf numFmtId="0" fontId="3" fillId="0" borderId="0" xfId="0" applyFont="1" applyAlignment="1">
      <alignment horizontal="centerContinuous"/>
    </xf>
    <xf numFmtId="0" fontId="4" fillId="0" borderId="0" xfId="0" applyFont="1" applyAlignment="1">
      <alignment horizontal="centerContinuous"/>
    </xf>
    <xf numFmtId="0" fontId="0" fillId="0" borderId="0" xfId="0" applyAlignment="1">
      <alignment horizontal="centerContinuous"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6" fillId="0" borderId="0" xfId="0" applyFont="1" applyAlignment="1">
      <alignment vertical="center"/>
    </xf>
    <xf numFmtId="0" fontId="8" fillId="0" borderId="0" xfId="0" applyFont="1" applyAlignment="1">
      <alignment horizontal="centerContinuous" vertical="center"/>
    </xf>
    <xf numFmtId="0" fontId="0" fillId="0" borderId="0" xfId="0" applyAlignment="1">
      <alignment horizontal="left" vertical="center"/>
    </xf>
    <xf numFmtId="0" fontId="9" fillId="0" borderId="0" xfId="0" applyFont="1" applyAlignment="1">
      <alignment vertical="center"/>
    </xf>
    <xf numFmtId="0" fontId="6" fillId="0" borderId="1" xfId="0" applyFont="1" applyBorder="1" applyAlignment="1">
      <alignment vertical="center"/>
    </xf>
    <xf numFmtId="0" fontId="11" fillId="0" borderId="0" xfId="0" applyFont="1" applyAlignment="1">
      <alignment horizontal="centerContinuous"/>
    </xf>
    <xf numFmtId="0" fontId="6" fillId="0" borderId="2" xfId="0" applyFont="1" applyBorder="1" applyAlignment="1">
      <alignment vertical="center"/>
    </xf>
    <xf numFmtId="0" fontId="6" fillId="0" borderId="3" xfId="0" applyFont="1" applyBorder="1" applyAlignment="1">
      <alignment vertical="center"/>
    </xf>
    <xf numFmtId="0" fontId="0" fillId="2" borderId="0" xfId="0" applyFill="1" applyAlignment="1">
      <alignment vertical="center"/>
    </xf>
    <xf numFmtId="0" fontId="0" fillId="2" borderId="0" xfId="0" applyFill="1"/>
    <xf numFmtId="0" fontId="12" fillId="0" borderId="0" xfId="0" applyFont="1" applyAlignment="1">
      <alignment horizontal="centerContinuous" vertical="center"/>
    </xf>
    <xf numFmtId="0" fontId="13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13" fillId="0" borderId="0" xfId="0" applyFont="1" applyAlignment="1">
      <alignment horizontal="centerContinuous" vertical="center"/>
    </xf>
    <xf numFmtId="0" fontId="6" fillId="2" borderId="0" xfId="0" applyFont="1" applyFill="1" applyAlignment="1">
      <alignment vertical="center"/>
    </xf>
    <xf numFmtId="0" fontId="6" fillId="2" borderId="0" xfId="0" applyFont="1" applyFill="1" applyAlignment="1">
      <alignment horizontal="centerContinuous" vertical="center"/>
    </xf>
    <xf numFmtId="0" fontId="9" fillId="2" borderId="0" xfId="0" applyFont="1" applyFill="1" applyAlignment="1">
      <alignment vertical="center"/>
    </xf>
    <xf numFmtId="0" fontId="9" fillId="2" borderId="0" xfId="0" applyFont="1" applyFill="1" applyAlignment="1">
      <alignment horizontal="centerContinuous" vertical="center"/>
    </xf>
    <xf numFmtId="0" fontId="10" fillId="2" borderId="0" xfId="0" applyFont="1" applyFill="1" applyAlignment="1">
      <alignment horizontal="centerContinuous" vertical="center"/>
    </xf>
    <xf numFmtId="0" fontId="14" fillId="0" borderId="0" xfId="0" applyFont="1" applyAlignment="1">
      <alignment horizontal="centerContinuous" vertical="center"/>
    </xf>
    <xf numFmtId="0" fontId="15" fillId="0" borderId="0" xfId="0" applyFont="1" applyAlignment="1">
      <alignment vertical="center"/>
    </xf>
    <xf numFmtId="0" fontId="16" fillId="0" borderId="0" xfId="0" applyFont="1" applyAlignment="1">
      <alignment vertical="center"/>
    </xf>
    <xf numFmtId="0" fontId="14" fillId="0" borderId="0" xfId="0" applyFont="1" applyAlignment="1">
      <alignment vertical="center"/>
    </xf>
    <xf numFmtId="0" fontId="14" fillId="0" borderId="0" xfId="0" applyFont="1"/>
    <xf numFmtId="0" fontId="14" fillId="0" borderId="0" xfId="0" applyFont="1" applyAlignment="1">
      <alignment horizontal="left" vertical="center"/>
    </xf>
    <xf numFmtId="0" fontId="17" fillId="0" borderId="0" xfId="0" applyFont="1" applyAlignment="1">
      <alignment horizontal="centerContinuous"/>
    </xf>
    <xf numFmtId="0" fontId="6" fillId="2" borderId="2" xfId="0" applyFont="1" applyFill="1" applyBorder="1" applyAlignment="1">
      <alignment horizontal="centerContinuous" vertical="center"/>
    </xf>
    <xf numFmtId="0" fontId="7" fillId="2" borderId="2" xfId="0" applyFont="1" applyFill="1" applyBorder="1" applyAlignment="1">
      <alignment horizontal="centerContinuous" vertical="center"/>
    </xf>
    <xf numFmtId="0" fontId="6" fillId="2" borderId="4" xfId="0" applyFont="1" applyFill="1" applyBorder="1" applyAlignment="1">
      <alignment horizontal="centerContinuous" vertical="center"/>
    </xf>
    <xf numFmtId="0" fontId="7" fillId="2" borderId="1" xfId="0" applyFont="1" applyFill="1" applyBorder="1" applyAlignment="1">
      <alignment horizontal="centerContinuous" vertical="center"/>
    </xf>
    <xf numFmtId="0" fontId="6" fillId="3" borderId="5" xfId="0" applyFont="1" applyFill="1" applyBorder="1" applyAlignment="1">
      <alignment vertical="center"/>
    </xf>
    <xf numFmtId="0" fontId="6" fillId="3" borderId="1" xfId="0" applyFont="1" applyFill="1" applyBorder="1" applyAlignment="1">
      <alignment vertical="center"/>
    </xf>
    <xf numFmtId="0" fontId="6" fillId="3" borderId="1" xfId="0" applyFont="1" applyFill="1" applyBorder="1"/>
    <xf numFmtId="0" fontId="6" fillId="3" borderId="5" xfId="0" applyFont="1" applyFill="1" applyBorder="1" applyAlignment="1">
      <alignment horizontal="centerContinuous" vertical="center" wrapText="1"/>
    </xf>
    <xf numFmtId="0" fontId="6" fillId="3" borderId="2" xfId="0" applyFont="1" applyFill="1" applyBorder="1" applyAlignment="1">
      <alignment textRotation="90"/>
    </xf>
    <xf numFmtId="0" fontId="6" fillId="3" borderId="4" xfId="0" applyFont="1" applyFill="1" applyBorder="1" applyAlignment="1">
      <alignment textRotation="90"/>
    </xf>
    <xf numFmtId="0" fontId="0" fillId="0" borderId="6" xfId="0" applyBorder="1" applyAlignment="1">
      <alignment vertical="center"/>
    </xf>
    <xf numFmtId="0" fontId="0" fillId="0" borderId="7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8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6" xfId="0" applyBorder="1" applyAlignment="1">
      <alignment horizontal="left" vertical="center"/>
    </xf>
    <xf numFmtId="0" fontId="0" fillId="0" borderId="7" xfId="0" applyBorder="1" applyAlignment="1">
      <alignment vertical="center"/>
    </xf>
    <xf numFmtId="0" fontId="0" fillId="0" borderId="10" xfId="0" applyBorder="1" applyAlignment="1">
      <alignment horizontal="center" vertical="center"/>
    </xf>
    <xf numFmtId="0" fontId="0" fillId="0" borderId="3" xfId="0" applyBorder="1" applyAlignment="1">
      <alignment horizontal="left" vertical="center"/>
    </xf>
    <xf numFmtId="0" fontId="0" fillId="0" borderId="3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5" xfId="0" applyBorder="1" applyAlignment="1">
      <alignment horizontal="left" vertical="center"/>
    </xf>
    <xf numFmtId="0" fontId="0" fillId="0" borderId="5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11" xfId="0" applyBorder="1" applyAlignment="1">
      <alignment vertical="center"/>
    </xf>
    <xf numFmtId="0" fontId="0" fillId="0" borderId="12" xfId="0" applyBorder="1" applyAlignment="1">
      <alignment horizontal="left" vertical="center"/>
    </xf>
    <xf numFmtId="0" fontId="0" fillId="0" borderId="13" xfId="0" applyBorder="1" applyAlignment="1">
      <alignment horizontal="left" vertical="center"/>
    </xf>
    <xf numFmtId="0" fontId="0" fillId="0" borderId="14" xfId="0" applyBorder="1" applyAlignment="1">
      <alignment horizontal="left" vertical="center"/>
    </xf>
    <xf numFmtId="0" fontId="0" fillId="0" borderId="5" xfId="0" applyBorder="1" applyAlignment="1">
      <alignment vertical="center"/>
    </xf>
    <xf numFmtId="0" fontId="0" fillId="0" borderId="3" xfId="0" applyBorder="1" applyAlignment="1">
      <alignment vertical="center"/>
    </xf>
    <xf numFmtId="0" fontId="1" fillId="0" borderId="1" xfId="0" applyFont="1" applyBorder="1" applyAlignment="1">
      <alignment vertical="center"/>
    </xf>
    <xf numFmtId="0" fontId="0" fillId="0" borderId="1" xfId="0" applyBorder="1" applyAlignment="1">
      <alignment vertical="center"/>
    </xf>
    <xf numFmtId="3" fontId="0" fillId="0" borderId="6" xfId="0" applyNumberFormat="1" applyBorder="1" applyAlignment="1">
      <alignment horizontal="centerContinuous" vertical="center"/>
    </xf>
    <xf numFmtId="3" fontId="0" fillId="0" borderId="3" xfId="0" applyNumberFormat="1" applyBorder="1" applyAlignment="1">
      <alignment horizontal="center" vertical="center"/>
    </xf>
    <xf numFmtId="3" fontId="0" fillId="0" borderId="5" xfId="0" applyNumberFormat="1" applyBorder="1" applyAlignment="1">
      <alignment horizontal="centerContinuous" vertical="center"/>
    </xf>
    <xf numFmtId="3" fontId="0" fillId="0" borderId="6" xfId="0" applyNumberFormat="1" applyBorder="1" applyAlignment="1">
      <alignment horizontal="center" vertical="center"/>
    </xf>
    <xf numFmtId="3" fontId="0" fillId="0" borderId="1" xfId="0" applyNumberFormat="1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0" fillId="0" borderId="1" xfId="0" applyBorder="1" applyAlignment="1">
      <alignment horizontal="left" vertical="center" wrapText="1"/>
    </xf>
    <xf numFmtId="0" fontId="20" fillId="4" borderId="4" xfId="0" applyFont="1" applyFill="1" applyBorder="1" applyAlignment="1">
      <alignment horizontal="center" vertical="center" wrapText="1"/>
    </xf>
    <xf numFmtId="0" fontId="20" fillId="4" borderId="1" xfId="0" applyFont="1" applyFill="1" applyBorder="1" applyAlignment="1">
      <alignment horizontal="center" vertical="center"/>
    </xf>
    <xf numFmtId="3" fontId="20" fillId="4" borderId="1" xfId="0" applyNumberFormat="1" applyFont="1" applyFill="1" applyBorder="1" applyAlignment="1">
      <alignment horizontal="center" vertical="center"/>
    </xf>
    <xf numFmtId="3" fontId="20" fillId="4" borderId="1" xfId="0" quotePrefix="1" applyNumberFormat="1" applyFont="1" applyFill="1" applyBorder="1" applyAlignment="1">
      <alignment horizontal="center" vertical="center"/>
    </xf>
    <xf numFmtId="3" fontId="20" fillId="4" borderId="9" xfId="0" applyNumberFormat="1" applyFont="1" applyFill="1" applyBorder="1" applyAlignment="1">
      <alignment horizontal="center" vertical="center"/>
    </xf>
    <xf numFmtId="3" fontId="20" fillId="4" borderId="0" xfId="0" applyNumberFormat="1" applyFont="1" applyFill="1" applyBorder="1" applyAlignment="1">
      <alignment horizontal="center" vertical="center"/>
    </xf>
    <xf numFmtId="0" fontId="0" fillId="0" borderId="0" xfId="0" applyFill="1" applyBorder="1"/>
    <xf numFmtId="0" fontId="21" fillId="0" borderId="0" xfId="0" applyFont="1" applyAlignment="1">
      <alignment horizontal="centerContinuous"/>
    </xf>
    <xf numFmtId="0" fontId="15" fillId="0" borderId="0" xfId="0" applyFont="1" applyAlignment="1">
      <alignment horizontal="centerContinuous"/>
    </xf>
    <xf numFmtId="0" fontId="0" fillId="0" borderId="5" xfId="0" applyBorder="1"/>
    <xf numFmtId="0" fontId="6" fillId="0" borderId="9" xfId="0" applyFont="1" applyBorder="1" applyAlignment="1">
      <alignment horizontal="centerContinuous" vertical="center"/>
    </xf>
    <xf numFmtId="0" fontId="0" fillId="0" borderId="8" xfId="0" applyBorder="1" applyAlignment="1">
      <alignment horizontal="centerContinuous"/>
    </xf>
    <xf numFmtId="0" fontId="0" fillId="0" borderId="4" xfId="0" applyBorder="1" applyAlignment="1">
      <alignment horizontal="centerContinuous"/>
    </xf>
    <xf numFmtId="0" fontId="0" fillId="0" borderId="5" xfId="0" applyBorder="1" applyAlignment="1">
      <alignment horizontal="centerContinuous" vertical="center"/>
    </xf>
    <xf numFmtId="0" fontId="9" fillId="0" borderId="5" xfId="0" applyFont="1" applyBorder="1" applyAlignment="1">
      <alignment horizontal="centerContinuous" vertical="center"/>
    </xf>
    <xf numFmtId="0" fontId="6" fillId="0" borderId="3" xfId="0" applyFont="1" applyBorder="1" applyAlignment="1">
      <alignment vertical="top"/>
    </xf>
    <xf numFmtId="0" fontId="9" fillId="0" borderId="8" xfId="0" applyFont="1" applyBorder="1" applyAlignment="1">
      <alignment horizontal="centerContinuous" vertical="center" wrapText="1"/>
    </xf>
    <xf numFmtId="0" fontId="9" fillId="0" borderId="1" xfId="0" applyFont="1" applyBorder="1" applyAlignment="1">
      <alignment horizontal="centerContinuous" vertical="center" wrapText="1"/>
    </xf>
    <xf numFmtId="0" fontId="9" fillId="0" borderId="3" xfId="0" applyFont="1" applyBorder="1" applyAlignment="1">
      <alignment horizontal="centerContinuous" vertical="center" wrapText="1"/>
    </xf>
    <xf numFmtId="0" fontId="6" fillId="0" borderId="6" xfId="0" applyFont="1" applyBorder="1" applyAlignment="1">
      <alignment vertical="center"/>
    </xf>
    <xf numFmtId="3" fontId="6" fillId="0" borderId="0" xfId="0" applyNumberFormat="1" applyFont="1" applyBorder="1" applyAlignment="1">
      <alignment horizontal="centerContinuous" vertical="center"/>
    </xf>
    <xf numFmtId="3" fontId="6" fillId="0" borderId="6" xfId="0" applyNumberFormat="1" applyFont="1" applyBorder="1" applyAlignment="1">
      <alignment horizontal="centerContinuous" vertical="center"/>
    </xf>
    <xf numFmtId="165" fontId="6" fillId="0" borderId="6" xfId="0" applyNumberFormat="1" applyFont="1" applyBorder="1" applyAlignment="1">
      <alignment horizontal="centerContinuous" vertical="center"/>
    </xf>
    <xf numFmtId="166" fontId="6" fillId="0" borderId="13" xfId="0" applyNumberFormat="1" applyFont="1" applyBorder="1" applyAlignment="1">
      <alignment horizontal="centerContinuous" vertical="center"/>
    </xf>
    <xf numFmtId="0" fontId="6" fillId="0" borderId="0" xfId="0" applyFont="1" applyBorder="1" applyAlignment="1">
      <alignment horizontal="centerContinuous" vertical="center"/>
    </xf>
    <xf numFmtId="0" fontId="6" fillId="0" borderId="13" xfId="0" applyFont="1" applyBorder="1" applyAlignment="1">
      <alignment horizontal="centerContinuous" vertical="center"/>
    </xf>
    <xf numFmtId="0" fontId="7" fillId="0" borderId="6" xfId="0" applyFont="1" applyBorder="1" applyAlignment="1">
      <alignment vertical="center"/>
    </xf>
    <xf numFmtId="3" fontId="7" fillId="0" borderId="0" xfId="0" applyNumberFormat="1" applyFont="1" applyBorder="1" applyAlignment="1">
      <alignment horizontal="centerContinuous" vertical="center"/>
    </xf>
    <xf numFmtId="3" fontId="7" fillId="0" borderId="6" xfId="0" applyNumberFormat="1" applyFont="1" applyBorder="1" applyAlignment="1">
      <alignment horizontal="centerContinuous" vertical="center"/>
    </xf>
    <xf numFmtId="165" fontId="7" fillId="0" borderId="6" xfId="0" applyNumberFormat="1" applyFont="1" applyBorder="1" applyAlignment="1">
      <alignment horizontal="centerContinuous" vertical="center"/>
    </xf>
    <xf numFmtId="166" fontId="7" fillId="0" borderId="13" xfId="0" applyNumberFormat="1" applyFont="1" applyBorder="1" applyAlignment="1">
      <alignment horizontal="centerContinuous" vertical="center"/>
    </xf>
    <xf numFmtId="3" fontId="6" fillId="0" borderId="6" xfId="0" applyNumberFormat="1" applyFont="1" applyBorder="1" applyAlignment="1">
      <alignment vertical="center"/>
    </xf>
    <xf numFmtId="166" fontId="6" fillId="0" borderId="13" xfId="0" applyNumberFormat="1" applyFont="1" applyBorder="1" applyAlignment="1">
      <alignment vertical="center"/>
    </xf>
    <xf numFmtId="0" fontId="6" fillId="0" borderId="13" xfId="0" applyFont="1" applyBorder="1" applyAlignment="1">
      <alignment vertical="center"/>
    </xf>
    <xf numFmtId="165" fontId="6" fillId="0" borderId="0" xfId="0" applyNumberFormat="1" applyFont="1" applyBorder="1" applyAlignment="1">
      <alignment horizontal="centerContinuous" vertical="center"/>
    </xf>
    <xf numFmtId="0" fontId="7" fillId="0" borderId="3" xfId="0" applyFont="1" applyBorder="1" applyAlignment="1">
      <alignment vertical="center"/>
    </xf>
    <xf numFmtId="3" fontId="7" fillId="0" borderId="15" xfId="0" applyNumberFormat="1" applyFont="1" applyBorder="1" applyAlignment="1">
      <alignment horizontal="centerContinuous" vertical="center"/>
    </xf>
    <xf numFmtId="3" fontId="7" fillId="0" borderId="3" xfId="0" applyNumberFormat="1" applyFont="1" applyBorder="1" applyAlignment="1">
      <alignment horizontal="centerContinuous" vertical="center"/>
    </xf>
    <xf numFmtId="165" fontId="7" fillId="0" borderId="3" xfId="0" applyNumberFormat="1" applyFont="1" applyBorder="1" applyAlignment="1">
      <alignment horizontal="centerContinuous" vertical="center"/>
    </xf>
    <xf numFmtId="166" fontId="7" fillId="0" borderId="3" xfId="0" applyNumberFormat="1" applyFont="1" applyBorder="1" applyAlignment="1">
      <alignment horizontal="centerContinuous" vertical="center"/>
    </xf>
    <xf numFmtId="0" fontId="18" fillId="0" borderId="0" xfId="0" applyFont="1" applyAlignment="1">
      <alignment horizontal="centerContinuous"/>
    </xf>
    <xf numFmtId="0" fontId="5" fillId="0" borderId="0" xfId="0" applyFont="1" applyAlignment="1">
      <alignment horizontal="centerContinuous"/>
    </xf>
    <xf numFmtId="0" fontId="22" fillId="0" borderId="0" xfId="0" applyFont="1" applyAlignment="1">
      <alignment horizontal="centerContinuous"/>
    </xf>
    <xf numFmtId="3" fontId="0" fillId="0" borderId="0" xfId="0" applyNumberFormat="1"/>
    <xf numFmtId="0" fontId="0" fillId="0" borderId="9" xfId="0" applyBorder="1" applyAlignment="1">
      <alignment vertical="center"/>
    </xf>
    <xf numFmtId="0" fontId="0" fillId="0" borderId="9" xfId="0" applyBorder="1" applyAlignment="1">
      <alignment horizontal="centerContinuous" vertical="center"/>
    </xf>
    <xf numFmtId="0" fontId="0" fillId="0" borderId="8" xfId="0" applyBorder="1" applyAlignment="1">
      <alignment horizontal="centerContinuous" vertical="center"/>
    </xf>
    <xf numFmtId="0" fontId="0" fillId="0" borderId="8" xfId="0" quotePrefix="1" applyBorder="1" applyAlignment="1">
      <alignment horizontal="centerContinuous" vertical="center"/>
    </xf>
    <xf numFmtId="0" fontId="0" fillId="0" borderId="4" xfId="0" applyBorder="1" applyAlignment="1">
      <alignment horizontal="centerContinuous" vertical="center"/>
    </xf>
    <xf numFmtId="3" fontId="0" fillId="0" borderId="0" xfId="0" applyNumberFormat="1" applyBorder="1" applyAlignment="1">
      <alignment vertical="center"/>
    </xf>
    <xf numFmtId="3" fontId="0" fillId="0" borderId="13" xfId="0" applyNumberFormat="1" applyBorder="1" applyAlignment="1">
      <alignment vertical="center"/>
    </xf>
    <xf numFmtId="0" fontId="1" fillId="0" borderId="6" xfId="0" applyFont="1" applyBorder="1" applyAlignment="1">
      <alignment vertical="center"/>
    </xf>
    <xf numFmtId="3" fontId="0" fillId="0" borderId="0" xfId="0" applyNumberFormat="1" applyBorder="1" applyAlignment="1">
      <alignment horizontal="centerContinuous" vertical="center"/>
    </xf>
    <xf numFmtId="4" fontId="0" fillId="0" borderId="0" xfId="0" applyNumberFormat="1"/>
    <xf numFmtId="3" fontId="8" fillId="0" borderId="0" xfId="0" applyNumberFormat="1" applyFont="1" applyBorder="1" applyAlignment="1">
      <alignment vertical="center"/>
    </xf>
    <xf numFmtId="3" fontId="8" fillId="0" borderId="13" xfId="0" applyNumberFormat="1" applyFont="1" applyBorder="1" applyAlignment="1">
      <alignment vertical="center"/>
    </xf>
    <xf numFmtId="3" fontId="23" fillId="0" borderId="0" xfId="0" applyNumberFormat="1" applyFont="1" applyBorder="1" applyAlignment="1">
      <alignment vertical="center"/>
    </xf>
    <xf numFmtId="0" fontId="0" fillId="0" borderId="0" xfId="0" applyBorder="1" applyAlignment="1">
      <alignment vertical="center"/>
    </xf>
    <xf numFmtId="0" fontId="1" fillId="0" borderId="3" xfId="0" applyFont="1" applyBorder="1" applyAlignment="1">
      <alignment vertical="center"/>
    </xf>
    <xf numFmtId="3" fontId="0" fillId="0" borderId="15" xfId="0" applyNumberFormat="1" applyBorder="1" applyAlignment="1">
      <alignment vertical="center"/>
    </xf>
    <xf numFmtId="3" fontId="0" fillId="0" borderId="15" xfId="0" applyNumberFormat="1" applyBorder="1" applyAlignment="1">
      <alignment horizontal="centerContinuous" vertical="center"/>
    </xf>
    <xf numFmtId="3" fontId="0" fillId="0" borderId="14" xfId="0" applyNumberFormat="1" applyBorder="1" applyAlignment="1">
      <alignment vertical="center"/>
    </xf>
    <xf numFmtId="167" fontId="0" fillId="0" borderId="0" xfId="0" applyNumberFormat="1"/>
    <xf numFmtId="1" fontId="0" fillId="0" borderId="0" xfId="0" applyNumberFormat="1"/>
    <xf numFmtId="0" fontId="24" fillId="0" borderId="0" xfId="0" applyFont="1" applyAlignment="1">
      <alignment horizontal="centerContinuous"/>
    </xf>
    <xf numFmtId="0" fontId="0" fillId="0" borderId="8" xfId="0" applyBorder="1" applyAlignment="1">
      <alignment horizontal="right" vertical="center"/>
    </xf>
    <xf numFmtId="0" fontId="9" fillId="0" borderId="4" xfId="0" applyFont="1" applyBorder="1" applyAlignment="1">
      <alignment horizontal="centerContinuous" vertical="center" wrapText="1"/>
    </xf>
    <xf numFmtId="0" fontId="0" fillId="0" borderId="13" xfId="0" applyBorder="1" applyAlignment="1">
      <alignment vertical="center"/>
    </xf>
    <xf numFmtId="3" fontId="0" fillId="0" borderId="7" xfId="0" applyNumberFormat="1" applyBorder="1" applyAlignment="1">
      <alignment vertical="center"/>
    </xf>
    <xf numFmtId="3" fontId="23" fillId="0" borderId="15" xfId="0" applyNumberFormat="1" applyFont="1" applyBorder="1" applyAlignment="1">
      <alignment vertical="center"/>
    </xf>
    <xf numFmtId="3" fontId="23" fillId="0" borderId="14" xfId="0" applyNumberFormat="1" applyFont="1" applyBorder="1" applyAlignment="1">
      <alignment vertical="center"/>
    </xf>
    <xf numFmtId="0" fontId="26" fillId="5" borderId="0" xfId="0" applyFont="1" applyFill="1" applyAlignment="1">
      <alignment horizontal="centerContinuous"/>
    </xf>
    <xf numFmtId="0" fontId="11" fillId="5" borderId="0" xfId="0" applyFont="1" applyFill="1" applyAlignment="1">
      <alignment horizontal="centerContinuous"/>
    </xf>
    <xf numFmtId="0" fontId="26" fillId="0" borderId="0" xfId="0" applyFont="1" applyAlignment="1">
      <alignment horizontal="centerContinuous"/>
    </xf>
    <xf numFmtId="0" fontId="6" fillId="0" borderId="1" xfId="0" applyFont="1" applyBorder="1" applyAlignment="1">
      <alignment horizontal="center" vertical="center" wrapText="1"/>
    </xf>
    <xf numFmtId="4" fontId="6" fillId="0" borderId="13" xfId="0" applyNumberFormat="1" applyFont="1" applyBorder="1" applyAlignment="1">
      <alignment horizontal="center" vertical="center"/>
    </xf>
    <xf numFmtId="0" fontId="0" fillId="0" borderId="3" xfId="0" applyBorder="1"/>
    <xf numFmtId="0" fontId="0" fillId="0" borderId="3" xfId="0" applyBorder="1" applyAlignment="1">
      <alignment horizontal="center"/>
    </xf>
    <xf numFmtId="0" fontId="0" fillId="0" borderId="0" xfId="0" applyBorder="1"/>
    <xf numFmtId="0" fontId="0" fillId="0" borderId="0" xfId="0" applyAlignment="1">
      <alignment horizontal="center" vertical="top" wrapText="1"/>
    </xf>
    <xf numFmtId="165" fontId="7" fillId="0" borderId="0" xfId="0" applyNumberFormat="1" applyFont="1" applyBorder="1" applyAlignment="1">
      <alignment horizontal="centerContinuous" vertical="center"/>
    </xf>
    <xf numFmtId="165" fontId="0" fillId="0" borderId="0" xfId="0" applyNumberFormat="1"/>
    <xf numFmtId="165" fontId="7" fillId="0" borderId="15" xfId="0" applyNumberFormat="1" applyFont="1" applyBorder="1" applyAlignment="1">
      <alignment horizontal="centerContinuous" vertical="center"/>
    </xf>
    <xf numFmtId="0" fontId="6" fillId="0" borderId="8" xfId="0" applyFont="1" applyBorder="1" applyAlignment="1">
      <alignment horizontal="centerContinuous" vertical="center"/>
    </xf>
    <xf numFmtId="0" fontId="6" fillId="0" borderId="4" xfId="0" applyFont="1" applyBorder="1" applyAlignment="1">
      <alignment horizontal="centerContinuous" vertical="center"/>
    </xf>
    <xf numFmtId="0" fontId="6" fillId="0" borderId="1" xfId="0" applyFont="1" applyBorder="1" applyAlignment="1">
      <alignment horizontal="centerContinuous" vertical="center"/>
    </xf>
    <xf numFmtId="3" fontId="28" fillId="0" borderId="0" xfId="0" applyNumberFormat="1" applyFont="1" applyBorder="1" applyAlignment="1">
      <alignment horizontal="center" vertical="center"/>
    </xf>
    <xf numFmtId="3" fontId="28" fillId="0" borderId="6" xfId="0" applyNumberFormat="1" applyFont="1" applyBorder="1" applyAlignment="1">
      <alignment horizontal="center" vertical="center"/>
    </xf>
    <xf numFmtId="3" fontId="28" fillId="0" borderId="13" xfId="0" applyNumberFormat="1" applyFont="1" applyBorder="1" applyAlignment="1">
      <alignment horizontal="centerContinuous" vertical="center"/>
    </xf>
    <xf numFmtId="3" fontId="28" fillId="0" borderId="13" xfId="0" applyNumberFormat="1" applyFont="1" applyBorder="1" applyAlignment="1">
      <alignment horizontal="center" vertical="center"/>
    </xf>
    <xf numFmtId="3" fontId="28" fillId="0" borderId="14" xfId="0" applyNumberFormat="1" applyFont="1" applyBorder="1" applyAlignment="1">
      <alignment horizontal="center" vertical="center"/>
    </xf>
    <xf numFmtId="3" fontId="28" fillId="0" borderId="3" xfId="0" applyNumberFormat="1" applyFont="1" applyBorder="1" applyAlignment="1">
      <alignment horizontal="center" vertical="center"/>
    </xf>
    <xf numFmtId="3" fontId="9" fillId="0" borderId="0" xfId="0" applyNumberFormat="1" applyFont="1" applyAlignment="1">
      <alignment vertical="center"/>
    </xf>
    <xf numFmtId="0" fontId="6" fillId="0" borderId="12" xfId="0" applyFont="1" applyBorder="1" applyAlignment="1">
      <alignment horizontal="centerContinuous" vertical="center"/>
    </xf>
    <xf numFmtId="0" fontId="6" fillId="0" borderId="2" xfId="0" applyFont="1" applyBorder="1" applyAlignment="1">
      <alignment horizontal="centerContinuous" vertical="center"/>
    </xf>
    <xf numFmtId="0" fontId="6" fillId="0" borderId="3" xfId="0" applyFont="1" applyBorder="1"/>
    <xf numFmtId="0" fontId="0" fillId="0" borderId="0" xfId="0" applyAlignment="1"/>
    <xf numFmtId="3" fontId="9" fillId="0" borderId="0" xfId="0" applyNumberFormat="1" applyFont="1" applyBorder="1" applyAlignment="1">
      <alignment vertical="center"/>
    </xf>
    <xf numFmtId="0" fontId="29" fillId="0" borderId="0" xfId="0" applyFont="1" applyAlignment="1">
      <alignment horizontal="centerContinuous"/>
    </xf>
    <xf numFmtId="0" fontId="0" fillId="5" borderId="0" xfId="0" applyFill="1"/>
    <xf numFmtId="0" fontId="1" fillId="5" borderId="0" xfId="0" applyFont="1" applyFill="1" applyAlignment="1">
      <alignment horizontal="centerContinuous"/>
    </xf>
    <xf numFmtId="0" fontId="15" fillId="5" borderId="0" xfId="0" applyFont="1" applyFill="1" applyAlignment="1">
      <alignment horizontal="centerContinuous"/>
    </xf>
    <xf numFmtId="0" fontId="0" fillId="5" borderId="0" xfId="0" applyFill="1" applyAlignment="1">
      <alignment horizontal="centerContinuous"/>
    </xf>
    <xf numFmtId="0" fontId="30" fillId="0" borderId="0" xfId="0" applyFont="1" applyAlignment="1">
      <alignment horizontal="centerContinuous"/>
    </xf>
    <xf numFmtId="0" fontId="1" fillId="0" borderId="0" xfId="0" applyFont="1" applyAlignment="1">
      <alignment horizontal="centerContinuous"/>
    </xf>
    <xf numFmtId="0" fontId="22" fillId="5" borderId="0" xfId="0" applyFont="1" applyFill="1" applyAlignment="1">
      <alignment horizontal="centerContinuous"/>
    </xf>
    <xf numFmtId="0" fontId="31" fillId="5" borderId="0" xfId="0" applyFont="1" applyFill="1" applyAlignment="1">
      <alignment horizontal="centerContinuous"/>
    </xf>
    <xf numFmtId="0" fontId="0" fillId="0" borderId="11" xfId="0" applyBorder="1"/>
    <xf numFmtId="0" fontId="0" fillId="0" borderId="6" xfId="0" applyBorder="1" applyAlignment="1">
      <alignment horizontal="centerContinuous"/>
    </xf>
    <xf numFmtId="0" fontId="31" fillId="0" borderId="0" xfId="0" applyFont="1" applyAlignment="1">
      <alignment horizontal="centerContinuous"/>
    </xf>
    <xf numFmtId="0" fontId="9" fillId="0" borderId="5" xfId="0" applyFont="1" applyBorder="1" applyAlignment="1">
      <alignment horizontal="centerContinuous"/>
    </xf>
    <xf numFmtId="0" fontId="9" fillId="0" borderId="11" xfId="0" applyFont="1" applyBorder="1" applyAlignment="1">
      <alignment horizontal="centerContinuous"/>
    </xf>
    <xf numFmtId="0" fontId="0" fillId="0" borderId="9" xfId="0" applyBorder="1"/>
    <xf numFmtId="0" fontId="0" fillId="0" borderId="2" xfId="0" applyBorder="1" applyAlignment="1">
      <alignment horizontal="centerContinuous"/>
    </xf>
    <xf numFmtId="0" fontId="9" fillId="0" borderId="6" xfId="0" applyFont="1" applyBorder="1" applyAlignment="1">
      <alignment horizontal="centerContinuous"/>
    </xf>
    <xf numFmtId="0" fontId="9" fillId="0" borderId="7" xfId="0" applyFont="1" applyBorder="1" applyAlignment="1">
      <alignment horizontal="centerContinuous"/>
    </xf>
    <xf numFmtId="0" fontId="10" fillId="0" borderId="7" xfId="0" applyFont="1" applyBorder="1" applyAlignment="1">
      <alignment horizontal="center"/>
    </xf>
    <xf numFmtId="0" fontId="9" fillId="0" borderId="5" xfId="0" applyFont="1" applyBorder="1" applyAlignment="1">
      <alignment horizontal="center"/>
    </xf>
    <xf numFmtId="0" fontId="0" fillId="0" borderId="11" xfId="0" applyBorder="1" applyAlignment="1">
      <alignment horizontal="centerContinuous"/>
    </xf>
    <xf numFmtId="0" fontId="0" fillId="0" borderId="5" xfId="0" applyBorder="1" applyAlignment="1">
      <alignment horizontal="centerContinuous"/>
    </xf>
    <xf numFmtId="0" fontId="0" fillId="0" borderId="6" xfId="0" applyBorder="1"/>
    <xf numFmtId="0" fontId="0" fillId="0" borderId="13" xfId="0" applyBorder="1"/>
    <xf numFmtId="0" fontId="9" fillId="0" borderId="7" xfId="0" applyFont="1" applyBorder="1" applyAlignment="1">
      <alignment horizontal="center"/>
    </xf>
    <xf numFmtId="0" fontId="9" fillId="0" borderId="3" xfId="0" applyFont="1" applyBorder="1" applyAlignment="1">
      <alignment horizontal="center"/>
    </xf>
    <xf numFmtId="0" fontId="0" fillId="0" borderId="7" xfId="0" applyBorder="1" applyAlignment="1">
      <alignment horizontal="centerContinuous"/>
    </xf>
    <xf numFmtId="3" fontId="0" fillId="0" borderId="2" xfId="0" applyNumberFormat="1" applyBorder="1" applyAlignment="1">
      <alignment horizontal="center" vertical="center"/>
    </xf>
    <xf numFmtId="0" fontId="0" fillId="0" borderId="11" xfId="0" applyBorder="1" applyAlignment="1">
      <alignment horizontal="center"/>
    </xf>
    <xf numFmtId="0" fontId="0" fillId="0" borderId="12" xfId="0" applyBorder="1" applyAlignment="1">
      <alignment horizontal="centerContinuous"/>
    </xf>
    <xf numFmtId="0" fontId="9" fillId="0" borderId="7" xfId="0" applyFont="1" applyBorder="1" applyAlignment="1">
      <alignment horizontal="centerContinuous" vertical="center"/>
    </xf>
    <xf numFmtId="3" fontId="9" fillId="0" borderId="6" xfId="0" applyNumberFormat="1" applyFont="1" applyBorder="1" applyAlignment="1">
      <alignment horizontal="center" vertical="center"/>
    </xf>
    <xf numFmtId="3" fontId="9" fillId="0" borderId="13" xfId="0" applyNumberFormat="1" applyFont="1" applyBorder="1" applyAlignment="1">
      <alignment horizontal="center" vertical="center"/>
    </xf>
    <xf numFmtId="3" fontId="9" fillId="0" borderId="7" xfId="0" applyNumberFormat="1" applyFont="1" applyBorder="1" applyAlignment="1">
      <alignment horizontal="center" vertical="center"/>
    </xf>
    <xf numFmtId="3" fontId="9" fillId="0" borderId="0" xfId="0" applyNumberFormat="1" applyFont="1" applyBorder="1" applyAlignment="1">
      <alignment horizontal="center" vertical="center"/>
    </xf>
    <xf numFmtId="0" fontId="6" fillId="0" borderId="0" xfId="0" applyFont="1"/>
    <xf numFmtId="0" fontId="9" fillId="0" borderId="10" xfId="0" applyFont="1" applyBorder="1" applyAlignment="1">
      <alignment horizontal="centerContinuous"/>
    </xf>
    <xf numFmtId="0" fontId="9" fillId="0" borderId="3" xfId="0" applyFont="1" applyBorder="1" applyAlignment="1">
      <alignment horizontal="center" vertical="center"/>
    </xf>
    <xf numFmtId="3" fontId="9" fillId="0" borderId="14" xfId="0" applyNumberFormat="1" applyFont="1" applyBorder="1" applyAlignment="1">
      <alignment horizontal="center" vertical="center"/>
    </xf>
    <xf numFmtId="3" fontId="9" fillId="0" borderId="10" xfId="0" applyNumberFormat="1" applyFont="1" applyBorder="1" applyAlignment="1">
      <alignment horizontal="center"/>
    </xf>
    <xf numFmtId="3" fontId="9" fillId="0" borderId="3" xfId="0" applyNumberFormat="1" applyFont="1" applyBorder="1" applyAlignment="1">
      <alignment horizontal="centerContinuous"/>
    </xf>
    <xf numFmtId="3" fontId="9" fillId="0" borderId="15" xfId="0" applyNumberFormat="1" applyFont="1" applyBorder="1" applyAlignment="1">
      <alignment horizontal="centerContinuous"/>
    </xf>
    <xf numFmtId="3" fontId="9" fillId="0" borderId="10" xfId="0" applyNumberFormat="1" applyFont="1" applyBorder="1" applyAlignment="1">
      <alignment horizontal="centerContinuous"/>
    </xf>
    <xf numFmtId="0" fontId="9" fillId="0" borderId="0" xfId="0" applyFont="1" applyAlignment="1">
      <alignment horizontal="centerContinuous"/>
    </xf>
    <xf numFmtId="0" fontId="9" fillId="0" borderId="0" xfId="0" applyFont="1" applyAlignment="1">
      <alignment horizontal="left"/>
    </xf>
    <xf numFmtId="3" fontId="9" fillId="0" borderId="0" xfId="0" applyNumberFormat="1" applyFont="1"/>
    <xf numFmtId="3" fontId="9" fillId="0" borderId="0" xfId="0" applyNumberFormat="1" applyFont="1" applyAlignment="1">
      <alignment horizontal="centerContinuous"/>
    </xf>
    <xf numFmtId="0" fontId="9" fillId="0" borderId="0" xfId="0" applyFont="1"/>
    <xf numFmtId="2" fontId="0" fillId="0" borderId="6" xfId="0" applyNumberFormat="1" applyBorder="1" applyAlignment="1">
      <alignment horizontal="centerContinuous" vertical="center"/>
    </xf>
    <xf numFmtId="0" fontId="0" fillId="0" borderId="10" xfId="0" applyBorder="1" applyAlignment="1">
      <alignment vertical="center"/>
    </xf>
    <xf numFmtId="2" fontId="0" fillId="0" borderId="3" xfId="0" applyNumberFormat="1" applyBorder="1" applyAlignment="1">
      <alignment horizontal="centerContinuous" vertical="center"/>
    </xf>
    <xf numFmtId="0" fontId="0" fillId="0" borderId="1" xfId="0" applyBorder="1" applyAlignment="1">
      <alignment horizontal="centerContinuous" vertical="center"/>
    </xf>
    <xf numFmtId="2" fontId="0" fillId="0" borderId="0" xfId="0" applyNumberFormat="1"/>
    <xf numFmtId="168" fontId="0" fillId="0" borderId="0" xfId="0" applyNumberFormat="1"/>
    <xf numFmtId="0" fontId="12" fillId="0" borderId="0" xfId="0" applyFont="1"/>
    <xf numFmtId="0" fontId="0" fillId="0" borderId="0" xfId="0" applyAlignment="1">
      <alignment horizontal="right"/>
    </xf>
    <xf numFmtId="0" fontId="9" fillId="0" borderId="4" xfId="0" applyFont="1" applyBorder="1" applyAlignment="1">
      <alignment horizontal="center" vertical="center" wrapText="1"/>
    </xf>
    <xf numFmtId="165" fontId="6" fillId="0" borderId="13" xfId="0" applyNumberFormat="1" applyFont="1" applyBorder="1" applyAlignment="1">
      <alignment horizontal="center" vertical="center"/>
    </xf>
    <xf numFmtId="165" fontId="7" fillId="0" borderId="13" xfId="0" applyNumberFormat="1" applyFont="1" applyBorder="1" applyAlignment="1">
      <alignment horizontal="center" vertical="center"/>
    </xf>
    <xf numFmtId="165" fontId="7" fillId="0" borderId="14" xfId="0" applyNumberFormat="1" applyFont="1" applyBorder="1" applyAlignment="1">
      <alignment horizontal="center" vertical="center"/>
    </xf>
    <xf numFmtId="3" fontId="0" fillId="0" borderId="0" xfId="0" applyNumberFormat="1" applyFill="1" applyBorder="1" applyAlignment="1">
      <alignment vertical="center"/>
    </xf>
    <xf numFmtId="0" fontId="25" fillId="0" borderId="0" xfId="0" applyFont="1"/>
    <xf numFmtId="0" fontId="20" fillId="2" borderId="0" xfId="0" applyFont="1" applyFill="1" applyAlignment="1">
      <alignment vertical="center"/>
    </xf>
    <xf numFmtId="0" fontId="7" fillId="2" borderId="2" xfId="0" applyFont="1" applyFill="1" applyBorder="1" applyAlignment="1">
      <alignment horizontal="center" vertical="center"/>
    </xf>
    <xf numFmtId="0" fontId="6" fillId="2" borderId="2" xfId="0" applyFont="1" applyFill="1" applyBorder="1" applyAlignment="1">
      <alignment horizontal="center" vertical="center"/>
    </xf>
    <xf numFmtId="0" fontId="6" fillId="2" borderId="4" xfId="0" applyFont="1" applyFill="1" applyBorder="1" applyAlignment="1">
      <alignment horizontal="center" vertical="center"/>
    </xf>
    <xf numFmtId="0" fontId="23" fillId="0" borderId="0" xfId="0" applyFont="1" applyBorder="1" applyAlignment="1">
      <alignment horizontal="center" vertical="center"/>
    </xf>
    <xf numFmtId="0" fontId="23" fillId="0" borderId="6" xfId="0" applyFont="1" applyBorder="1" applyAlignment="1">
      <alignment horizontal="center" vertical="center"/>
    </xf>
    <xf numFmtId="0" fontId="0" fillId="0" borderId="0" xfId="0" applyBorder="1" applyAlignment="1">
      <alignment horizontal="center"/>
    </xf>
    <xf numFmtId="0" fontId="0" fillId="0" borderId="0" xfId="0" applyAlignment="1">
      <alignment horizontal="center"/>
    </xf>
    <xf numFmtId="0" fontId="31" fillId="0" borderId="0" xfId="0" applyFont="1" applyAlignment="1" applyProtection="1">
      <alignment horizontal="centerContinuous"/>
      <protection locked="0"/>
    </xf>
    <xf numFmtId="0" fontId="5" fillId="0" borderId="0" xfId="0" applyFont="1" applyAlignment="1" applyProtection="1">
      <alignment horizontal="centerContinuous"/>
      <protection locked="0"/>
    </xf>
    <xf numFmtId="0" fontId="0" fillId="0" borderId="9" xfId="0" applyBorder="1" applyAlignment="1">
      <alignment horizontal="centerContinuous"/>
    </xf>
    <xf numFmtId="0" fontId="0" fillId="0" borderId="12" xfId="0" applyBorder="1"/>
    <xf numFmtId="0" fontId="9" fillId="0" borderId="13" xfId="0" applyFont="1" applyBorder="1" applyAlignment="1">
      <alignment horizontal="centerContinuous"/>
    </xf>
    <xf numFmtId="0" fontId="9" fillId="0" borderId="2" xfId="0" applyFont="1" applyBorder="1" applyAlignment="1">
      <alignment horizontal="centerContinuous"/>
    </xf>
    <xf numFmtId="0" fontId="9" fillId="0" borderId="11" xfId="0" applyFont="1" applyBorder="1"/>
    <xf numFmtId="0" fontId="9" fillId="0" borderId="2" xfId="0" applyFont="1" applyBorder="1"/>
    <xf numFmtId="0" fontId="9" fillId="0" borderId="6" xfId="0" applyFont="1" applyBorder="1" applyAlignment="1">
      <alignment horizontal="centerContinuous" vertical="center"/>
    </xf>
    <xf numFmtId="0" fontId="9" fillId="0" borderId="13" xfId="0" applyFont="1" applyBorder="1" applyAlignment="1">
      <alignment horizontal="centerContinuous" vertical="center"/>
    </xf>
    <xf numFmtId="0" fontId="9" fillId="0" borderId="7" xfId="0" applyFont="1" applyBorder="1" applyAlignment="1">
      <alignment vertical="center"/>
    </xf>
    <xf numFmtId="0" fontId="9" fillId="0" borderId="13" xfId="0" applyFont="1" applyBorder="1" applyAlignment="1">
      <alignment vertical="center"/>
    </xf>
    <xf numFmtId="0" fontId="9" fillId="0" borderId="3" xfId="0" applyFont="1" applyBorder="1" applyAlignment="1">
      <alignment horizontal="centerContinuous" vertical="center"/>
    </xf>
    <xf numFmtId="0" fontId="9" fillId="0" borderId="10" xfId="0" applyFont="1" applyBorder="1" applyAlignment="1">
      <alignment horizontal="centerContinuous" vertical="center"/>
    </xf>
    <xf numFmtId="0" fontId="9" fillId="0" borderId="14" xfId="0" applyFont="1" applyBorder="1" applyAlignment="1">
      <alignment vertical="center"/>
    </xf>
    <xf numFmtId="0" fontId="9" fillId="0" borderId="14" xfId="0" applyFont="1" applyBorder="1" applyAlignment="1">
      <alignment horizontal="centerContinuous" vertical="center"/>
    </xf>
    <xf numFmtId="0" fontId="9" fillId="0" borderId="12" xfId="0" applyFont="1" applyBorder="1" applyAlignment="1">
      <alignment horizontal="centerContinuous"/>
    </xf>
    <xf numFmtId="0" fontId="9" fillId="0" borderId="7" xfId="0" quotePrefix="1" applyFont="1" applyBorder="1" applyAlignment="1">
      <alignment horizontal="centerContinuous" vertical="center"/>
    </xf>
    <xf numFmtId="165" fontId="9" fillId="0" borderId="13" xfId="0" applyNumberFormat="1" applyFont="1" applyBorder="1" applyAlignment="1">
      <alignment horizontal="centerContinuous" vertical="center"/>
    </xf>
    <xf numFmtId="2" fontId="9" fillId="0" borderId="0" xfId="0" applyNumberFormat="1" applyFont="1" applyBorder="1" applyAlignment="1">
      <alignment horizontal="center" vertical="center"/>
    </xf>
    <xf numFmtId="0" fontId="9" fillId="0" borderId="7" xfId="0" applyFont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3" fontId="9" fillId="0" borderId="7" xfId="0" applyNumberFormat="1" applyFont="1" applyBorder="1" applyAlignment="1">
      <alignment vertical="center"/>
    </xf>
    <xf numFmtId="165" fontId="9" fillId="0" borderId="13" xfId="0" applyNumberFormat="1" applyFont="1" applyBorder="1" applyAlignment="1">
      <alignment horizontal="center" vertical="center"/>
    </xf>
    <xf numFmtId="0" fontId="9" fillId="0" borderId="3" xfId="0" applyFont="1" applyBorder="1" applyAlignment="1">
      <alignment horizontal="centerContinuous"/>
    </xf>
    <xf numFmtId="0" fontId="9" fillId="0" borderId="14" xfId="0" applyFont="1" applyBorder="1" applyAlignment="1">
      <alignment horizontal="centerContinuous"/>
    </xf>
    <xf numFmtId="0" fontId="9" fillId="0" borderId="15" xfId="0" applyFont="1" applyBorder="1" applyAlignment="1">
      <alignment horizontal="centerContinuous"/>
    </xf>
    <xf numFmtId="0" fontId="9" fillId="0" borderId="0" xfId="0" applyFont="1" applyAlignment="1"/>
    <xf numFmtId="0" fontId="9" fillId="0" borderId="13" xfId="0" applyFont="1" applyBorder="1"/>
    <xf numFmtId="0" fontId="9" fillId="0" borderId="12" xfId="0" applyFont="1" applyBorder="1" applyAlignment="1">
      <alignment horizontal="center"/>
    </xf>
    <xf numFmtId="165" fontId="9" fillId="0" borderId="0" xfId="0" applyNumberFormat="1" applyFont="1" applyAlignment="1">
      <alignment horizontal="centerContinuous" vertical="center"/>
    </xf>
    <xf numFmtId="165" fontId="9" fillId="0" borderId="0" xfId="0" applyNumberFormat="1" applyFont="1" applyAlignment="1">
      <alignment horizontal="center" vertical="center"/>
    </xf>
    <xf numFmtId="1" fontId="9" fillId="0" borderId="0" xfId="0" applyNumberFormat="1" applyFont="1" applyBorder="1" applyAlignment="1">
      <alignment horizontal="center" vertical="center"/>
    </xf>
    <xf numFmtId="165" fontId="9" fillId="0" borderId="0" xfId="0" applyNumberFormat="1" applyFont="1" applyBorder="1" applyAlignment="1">
      <alignment horizontal="center" vertical="center"/>
    </xf>
    <xf numFmtId="3" fontId="9" fillId="0" borderId="7" xfId="0" applyNumberFormat="1" applyFont="1" applyBorder="1" applyAlignment="1">
      <alignment horizontal="centerContinuous" vertical="center"/>
    </xf>
    <xf numFmtId="0" fontId="33" fillId="0" borderId="0" xfId="0" applyFont="1" applyAlignment="1">
      <alignment horizontal="centerContinuous"/>
    </xf>
    <xf numFmtId="0" fontId="0" fillId="0" borderId="11" xfId="0" applyBorder="1" applyAlignment="1">
      <alignment horizontal="centerContinuous" vertical="center"/>
    </xf>
    <xf numFmtId="0" fontId="0" fillId="0" borderId="2" xfId="0" applyBorder="1" applyAlignment="1">
      <alignment horizontal="centerContinuous" vertical="center"/>
    </xf>
    <xf numFmtId="0" fontId="9" fillId="0" borderId="0" xfId="0" applyFont="1" applyAlignment="1">
      <alignment horizontal="centerContinuous" vertical="center"/>
    </xf>
    <xf numFmtId="1" fontId="9" fillId="0" borderId="7" xfId="0" applyNumberFormat="1" applyFont="1" applyBorder="1" applyAlignment="1">
      <alignment horizontal="center" vertical="center"/>
    </xf>
    <xf numFmtId="0" fontId="9" fillId="0" borderId="10" xfId="0" applyFont="1" applyBorder="1" applyAlignment="1">
      <alignment horizontal="center"/>
    </xf>
    <xf numFmtId="0" fontId="9" fillId="0" borderId="14" xfId="0" applyFont="1" applyBorder="1" applyAlignment="1">
      <alignment horizontal="center"/>
    </xf>
    <xf numFmtId="0" fontId="9" fillId="0" borderId="15" xfId="0" applyFont="1" applyBorder="1" applyAlignment="1">
      <alignment horizontal="center"/>
    </xf>
    <xf numFmtId="0" fontId="9" fillId="0" borderId="11" xfId="0" applyFont="1" applyBorder="1" applyAlignment="1">
      <alignment horizontal="centerContinuous" vertical="center"/>
    </xf>
    <xf numFmtId="0" fontId="9" fillId="0" borderId="2" xfId="0" applyFont="1" applyBorder="1" applyAlignment="1">
      <alignment horizontal="centerContinuous" vertical="center"/>
    </xf>
    <xf numFmtId="0" fontId="9" fillId="0" borderId="12" xfId="0" applyFont="1" applyBorder="1" applyAlignment="1">
      <alignment horizontal="centerContinuous" vertical="center"/>
    </xf>
    <xf numFmtId="0" fontId="28" fillId="0" borderId="5" xfId="0" applyFont="1" applyBorder="1" applyAlignment="1">
      <alignment horizontal="centerContinuous" vertical="center"/>
    </xf>
    <xf numFmtId="0" fontId="28" fillId="0" borderId="11" xfId="0" applyFont="1" applyBorder="1" applyAlignment="1">
      <alignment horizontal="centerContinuous" vertical="center"/>
    </xf>
    <xf numFmtId="0" fontId="28" fillId="0" borderId="2" xfId="0" applyFont="1" applyBorder="1" applyAlignment="1">
      <alignment horizontal="centerContinuous" vertical="center"/>
    </xf>
    <xf numFmtId="0" fontId="5" fillId="0" borderId="0" xfId="0" applyFont="1"/>
    <xf numFmtId="0" fontId="10" fillId="0" borderId="5" xfId="0" applyFont="1" applyBorder="1" applyAlignment="1"/>
    <xf numFmtId="0" fontId="0" fillId="0" borderId="12" xfId="0" applyBorder="1" applyAlignment="1">
      <alignment vertical="center"/>
    </xf>
    <xf numFmtId="0" fontId="0" fillId="0" borderId="12" xfId="0" applyBorder="1" applyAlignment="1">
      <alignment horizontal="centerContinuous" vertical="center"/>
    </xf>
    <xf numFmtId="0" fontId="0" fillId="0" borderId="2" xfId="0" applyBorder="1" applyAlignment="1">
      <alignment horizontal="center" vertical="center"/>
    </xf>
    <xf numFmtId="0" fontId="10" fillId="0" borderId="3" xfId="0" applyFont="1" applyBorder="1" applyAlignment="1">
      <alignment vertical="top" wrapText="1"/>
    </xf>
    <xf numFmtId="0" fontId="9" fillId="0" borderId="1" xfId="0" applyFont="1" applyBorder="1" applyAlignment="1">
      <alignment horizontal="center" vertical="top" wrapText="1"/>
    </xf>
    <xf numFmtId="0" fontId="9" fillId="0" borderId="9" xfId="0" applyFont="1" applyBorder="1" applyAlignment="1">
      <alignment horizontal="centerContinuous" vertical="center"/>
    </xf>
    <xf numFmtId="0" fontId="9" fillId="0" borderId="8" xfId="0" applyFont="1" applyBorder="1" applyAlignment="1">
      <alignment horizontal="centerContinuous" vertical="center"/>
    </xf>
    <xf numFmtId="0" fontId="9" fillId="0" borderId="4" xfId="0" applyFont="1" applyBorder="1" applyAlignment="1">
      <alignment horizontal="centerContinuous" vertical="center"/>
    </xf>
    <xf numFmtId="0" fontId="9" fillId="0" borderId="6" xfId="0" applyFont="1" applyBorder="1" applyAlignment="1">
      <alignment vertical="center"/>
    </xf>
    <xf numFmtId="0" fontId="6" fillId="0" borderId="6" xfId="0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9" fillId="0" borderId="3" xfId="0" applyFont="1" applyBorder="1" applyAlignment="1">
      <alignment vertical="center"/>
    </xf>
    <xf numFmtId="0" fontId="6" fillId="0" borderId="3" xfId="0" applyFont="1" applyBorder="1" applyAlignment="1">
      <alignment horizontal="center" vertical="center"/>
    </xf>
    <xf numFmtId="0" fontId="6" fillId="0" borderId="15" xfId="0" applyFont="1" applyBorder="1" applyAlignment="1">
      <alignment horizontal="centerContinuous" vertical="center"/>
    </xf>
    <xf numFmtId="0" fontId="6" fillId="0" borderId="3" xfId="0" applyFont="1" applyBorder="1" applyAlignment="1">
      <alignment horizontal="centerContinuous" vertical="center"/>
    </xf>
    <xf numFmtId="3" fontId="6" fillId="0" borderId="14" xfId="0" applyNumberFormat="1" applyFont="1" applyBorder="1" applyAlignment="1">
      <alignment horizontal="centerContinuous" vertical="center"/>
    </xf>
    <xf numFmtId="0" fontId="9" fillId="0" borderId="0" xfId="0" applyFont="1" applyBorder="1" applyAlignment="1">
      <alignment vertical="center"/>
    </xf>
    <xf numFmtId="0" fontId="22" fillId="0" borderId="0" xfId="0" applyFont="1" applyAlignment="1">
      <alignment horizontal="center"/>
    </xf>
    <xf numFmtId="0" fontId="36" fillId="0" borderId="0" xfId="0" applyFont="1"/>
    <xf numFmtId="0" fontId="15" fillId="0" borderId="0" xfId="0" applyFont="1"/>
    <xf numFmtId="0" fontId="0" fillId="0" borderId="2" xfId="0" applyBorder="1"/>
    <xf numFmtId="0" fontId="10" fillId="0" borderId="3" xfId="0" applyFont="1" applyBorder="1" applyAlignment="1">
      <alignment vertical="center" wrapText="1"/>
    </xf>
    <xf numFmtId="16" fontId="0" fillId="0" borderId="10" xfId="0" quotePrefix="1" applyNumberFormat="1" applyBorder="1" applyAlignment="1">
      <alignment horizontal="center" vertical="center"/>
    </xf>
    <xf numFmtId="16" fontId="0" fillId="0" borderId="15" xfId="0" quotePrefix="1" applyNumberFormat="1" applyBorder="1" applyAlignment="1">
      <alignment horizontal="center" vertical="center"/>
    </xf>
    <xf numFmtId="0" fontId="0" fillId="0" borderId="14" xfId="0" applyBorder="1" applyAlignment="1">
      <alignment vertical="center"/>
    </xf>
    <xf numFmtId="0" fontId="36" fillId="0" borderId="0" xfId="0" applyFont="1" applyAlignment="1">
      <alignment vertical="center"/>
    </xf>
    <xf numFmtId="166" fontId="34" fillId="0" borderId="0" xfId="0" applyNumberFormat="1" applyFont="1" applyBorder="1" applyAlignment="1">
      <alignment horizontal="center" vertical="center"/>
    </xf>
    <xf numFmtId="166" fontId="6" fillId="0" borderId="0" xfId="0" applyNumberFormat="1" applyFont="1" applyBorder="1" applyAlignment="1">
      <alignment horizontal="center" vertical="center"/>
    </xf>
    <xf numFmtId="166" fontId="6" fillId="0" borderId="15" xfId="0" applyNumberFormat="1" applyFont="1" applyBorder="1" applyAlignment="1">
      <alignment horizontal="centerContinuous" vertical="center"/>
    </xf>
    <xf numFmtId="0" fontId="0" fillId="0" borderId="13" xfId="0" applyBorder="1" applyAlignment="1">
      <alignment horizontal="center" vertical="center"/>
    </xf>
    <xf numFmtId="0" fontId="36" fillId="0" borderId="0" xfId="0" applyFont="1" applyFill="1" applyBorder="1" applyAlignment="1">
      <alignment horizontal="center" vertical="center"/>
    </xf>
    <xf numFmtId="0" fontId="6" fillId="0" borderId="14" xfId="0" applyFont="1" applyBorder="1" applyAlignment="1">
      <alignment horizontal="centerContinuous" vertical="center"/>
    </xf>
    <xf numFmtId="0" fontId="9" fillId="0" borderId="6" xfId="0" applyFont="1" applyFill="1" applyBorder="1" applyAlignment="1">
      <alignment vertical="center"/>
    </xf>
    <xf numFmtId="0" fontId="6" fillId="0" borderId="0" xfId="0" applyFont="1" applyFill="1" applyBorder="1" applyAlignment="1">
      <alignment horizontal="center" vertical="center"/>
    </xf>
    <xf numFmtId="3" fontId="19" fillId="0" borderId="1" xfId="0" applyNumberFormat="1" applyFont="1" applyBorder="1" applyAlignment="1">
      <alignment horizontal="center" vertical="center"/>
    </xf>
    <xf numFmtId="3" fontId="0" fillId="0" borderId="11" xfId="0" applyNumberFormat="1" applyBorder="1"/>
    <xf numFmtId="0" fontId="0" fillId="0" borderId="7" xfId="0" applyBorder="1"/>
    <xf numFmtId="0" fontId="0" fillId="0" borderId="13" xfId="0" applyBorder="1" applyAlignment="1">
      <alignment horizontal="centerContinuous"/>
    </xf>
    <xf numFmtId="0" fontId="0" fillId="0" borderId="10" xfId="0" applyBorder="1"/>
    <xf numFmtId="0" fontId="0" fillId="0" borderId="14" xfId="0" applyBorder="1"/>
    <xf numFmtId="0" fontId="0" fillId="0" borderId="2" xfId="0" applyBorder="1" applyAlignment="1">
      <alignment vertical="center"/>
    </xf>
    <xf numFmtId="3" fontId="0" fillId="0" borderId="0" xfId="0" applyNumberFormat="1" applyBorder="1" applyAlignment="1">
      <alignment horizontal="center" vertical="center"/>
    </xf>
    <xf numFmtId="2" fontId="0" fillId="0" borderId="13" xfId="0" applyNumberFormat="1" applyBorder="1" applyAlignment="1">
      <alignment horizontal="center" vertical="center"/>
    </xf>
    <xf numFmtId="3" fontId="0" fillId="0" borderId="15" xfId="0" applyNumberFormat="1" applyBorder="1" applyAlignment="1">
      <alignment horizontal="center" vertical="center"/>
    </xf>
    <xf numFmtId="2" fontId="0" fillId="0" borderId="14" xfId="0" applyNumberFormat="1" applyBorder="1" applyAlignment="1">
      <alignment horizontal="center" vertical="center"/>
    </xf>
    <xf numFmtId="3" fontId="9" fillId="0" borderId="0" xfId="0" applyNumberFormat="1" applyFont="1" applyBorder="1" applyAlignment="1">
      <alignment horizontal="centerContinuous"/>
    </xf>
    <xf numFmtId="0" fontId="29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0" fontId="38" fillId="0" borderId="0" xfId="0" applyFont="1" applyAlignment="1">
      <alignment horizontal="center"/>
    </xf>
    <xf numFmtId="0" fontId="38" fillId="0" borderId="0" xfId="0" applyFont="1" applyAlignment="1"/>
    <xf numFmtId="0" fontId="38" fillId="0" borderId="0" xfId="0" applyFont="1" applyAlignment="1">
      <alignment horizontal="centerContinuous"/>
    </xf>
    <xf numFmtId="0" fontId="6" fillId="0" borderId="5" xfId="0" applyFont="1" applyBorder="1" applyAlignment="1">
      <alignment vertical="center"/>
    </xf>
    <xf numFmtId="0" fontId="10" fillId="0" borderId="5" xfId="0" applyFont="1" applyBorder="1" applyAlignment="1">
      <alignment horizontal="centerContinuous" vertical="center"/>
    </xf>
    <xf numFmtId="0" fontId="10" fillId="0" borderId="6" xfId="0" applyFont="1" applyBorder="1" applyAlignment="1">
      <alignment horizontal="centerContinuous" vertical="center"/>
    </xf>
    <xf numFmtId="0" fontId="6" fillId="0" borderId="10" xfId="0" applyFont="1" applyBorder="1" applyAlignment="1">
      <alignment horizontal="centerContinuous" vertical="center"/>
    </xf>
    <xf numFmtId="0" fontId="19" fillId="0" borderId="6" xfId="0" applyFont="1" applyBorder="1" applyAlignment="1">
      <alignment vertical="center"/>
    </xf>
    <xf numFmtId="3" fontId="19" fillId="0" borderId="6" xfId="0" applyNumberFormat="1" applyFont="1" applyBorder="1" applyAlignment="1">
      <alignment horizontal="center"/>
    </xf>
    <xf numFmtId="165" fontId="19" fillId="0" borderId="0" xfId="0" applyNumberFormat="1" applyFont="1" applyBorder="1" applyAlignment="1">
      <alignment horizontal="center"/>
    </xf>
    <xf numFmtId="165" fontId="19" fillId="0" borderId="13" xfId="0" applyNumberFormat="1" applyFont="1" applyBorder="1" applyAlignment="1">
      <alignment horizontal="center"/>
    </xf>
    <xf numFmtId="3" fontId="19" fillId="0" borderId="3" xfId="0" applyNumberFormat="1" applyFont="1" applyBorder="1" applyAlignment="1">
      <alignment horizontal="center"/>
    </xf>
    <xf numFmtId="165" fontId="19" fillId="0" borderId="15" xfId="0" applyNumberFormat="1" applyFont="1" applyBorder="1" applyAlignment="1">
      <alignment horizontal="center"/>
    </xf>
    <xf numFmtId="165" fontId="19" fillId="0" borderId="14" xfId="0" applyNumberFormat="1" applyFont="1" applyBorder="1" applyAlignment="1">
      <alignment horizontal="center"/>
    </xf>
    <xf numFmtId="0" fontId="9" fillId="0" borderId="1" xfId="0" applyFont="1" applyBorder="1" applyAlignment="1">
      <alignment horizontal="center" vertical="center"/>
    </xf>
    <xf numFmtId="0" fontId="10" fillId="0" borderId="1" xfId="0" applyFont="1" applyBorder="1" applyAlignment="1">
      <alignment horizontal="center" vertical="center"/>
    </xf>
    <xf numFmtId="3" fontId="19" fillId="0" borderId="1" xfId="0" applyNumberFormat="1" applyFont="1" applyBorder="1" applyAlignment="1">
      <alignment horizontal="center"/>
    </xf>
    <xf numFmtId="165" fontId="19" fillId="0" borderId="1" xfId="0" applyNumberFormat="1" applyFont="1" applyBorder="1" applyAlignment="1">
      <alignment horizontal="center"/>
    </xf>
    <xf numFmtId="3" fontId="0" fillId="0" borderId="0" xfId="0" applyNumberFormat="1" applyAlignment="1">
      <alignment vertical="center"/>
    </xf>
    <xf numFmtId="0" fontId="39" fillId="0" borderId="11" xfId="0" applyFont="1" applyBorder="1" applyAlignment="1">
      <alignment horizontal="center" vertical="center"/>
    </xf>
    <xf numFmtId="0" fontId="39" fillId="0" borderId="5" xfId="0" applyFont="1" applyBorder="1" applyAlignment="1">
      <alignment horizontal="center" vertical="center"/>
    </xf>
    <xf numFmtId="0" fontId="39" fillId="0" borderId="12" xfId="0" applyFont="1" applyBorder="1" applyAlignment="1">
      <alignment horizontal="center" vertical="center"/>
    </xf>
    <xf numFmtId="0" fontId="39" fillId="0" borderId="7" xfId="0" applyFont="1" applyBorder="1" applyAlignment="1">
      <alignment horizontal="left" vertical="center"/>
    </xf>
    <xf numFmtId="0" fontId="39" fillId="0" borderId="6" xfId="0" applyFont="1" applyBorder="1" applyAlignment="1">
      <alignment horizontal="left" vertical="center"/>
    </xf>
    <xf numFmtId="0" fontId="39" fillId="0" borderId="7" xfId="0" applyFont="1" applyBorder="1" applyAlignment="1">
      <alignment horizontal="center" vertical="center"/>
    </xf>
    <xf numFmtId="0" fontId="39" fillId="0" borderId="0" xfId="0" applyFont="1" applyBorder="1" applyAlignment="1">
      <alignment horizontal="center" vertical="center"/>
    </xf>
    <xf numFmtId="0" fontId="39" fillId="0" borderId="13" xfId="0" applyFont="1" applyBorder="1" applyAlignment="1">
      <alignment horizontal="center" vertical="center"/>
    </xf>
    <xf numFmtId="0" fontId="39" fillId="0" borderId="10" xfId="0" applyFont="1" applyBorder="1" applyAlignment="1">
      <alignment horizontal="left" vertical="center"/>
    </xf>
    <xf numFmtId="0" fontId="39" fillId="0" borderId="3" xfId="0" applyFont="1" applyBorder="1" applyAlignment="1">
      <alignment horizontal="left" vertical="center"/>
    </xf>
    <xf numFmtId="0" fontId="39" fillId="0" borderId="10" xfId="0" applyFont="1" applyBorder="1" applyAlignment="1">
      <alignment horizontal="center" vertical="center"/>
    </xf>
    <xf numFmtId="0" fontId="39" fillId="0" borderId="15" xfId="0" applyFont="1" applyBorder="1" applyAlignment="1">
      <alignment horizontal="center" vertical="center"/>
    </xf>
    <xf numFmtId="0" fontId="39" fillId="0" borderId="14" xfId="0" applyFont="1" applyBorder="1" applyAlignment="1">
      <alignment horizontal="center" vertical="center"/>
    </xf>
    <xf numFmtId="165" fontId="39" fillId="0" borderId="13" xfId="0" applyNumberFormat="1" applyFont="1" applyBorder="1" applyAlignment="1">
      <alignment horizontal="center" vertical="center"/>
    </xf>
    <xf numFmtId="165" fontId="39" fillId="0" borderId="0" xfId="0" applyNumberFormat="1" applyFont="1" applyBorder="1" applyAlignment="1">
      <alignment horizontal="center" vertical="center"/>
    </xf>
    <xf numFmtId="3" fontId="39" fillId="0" borderId="7" xfId="0" applyNumberFormat="1" applyFont="1" applyBorder="1" applyAlignment="1">
      <alignment horizontal="center" vertical="center"/>
    </xf>
    <xf numFmtId="3" fontId="39" fillId="0" borderId="0" xfId="0" applyNumberFormat="1" applyFont="1" applyBorder="1" applyAlignment="1">
      <alignment horizontal="center" vertical="center"/>
    </xf>
    <xf numFmtId="165" fontId="39" fillId="0" borderId="14" xfId="0" applyNumberFormat="1" applyFont="1" applyBorder="1" applyAlignment="1">
      <alignment horizontal="center" vertical="center"/>
    </xf>
    <xf numFmtId="165" fontId="39" fillId="0" borderId="15" xfId="0" applyNumberFormat="1" applyFont="1" applyBorder="1" applyAlignment="1">
      <alignment horizontal="center" vertical="center"/>
    </xf>
    <xf numFmtId="3" fontId="39" fillId="0" borderId="10" xfId="0" applyNumberFormat="1" applyFont="1" applyBorder="1" applyAlignment="1">
      <alignment horizontal="center" vertical="center"/>
    </xf>
    <xf numFmtId="3" fontId="39" fillId="0" borderId="15" xfId="0" applyNumberFormat="1" applyFont="1" applyBorder="1" applyAlignment="1">
      <alignment horizontal="center" vertical="center"/>
    </xf>
    <xf numFmtId="0" fontId="22" fillId="0" borderId="0" xfId="0" applyFont="1"/>
    <xf numFmtId="0" fontId="39" fillId="0" borderId="11" xfId="0" applyFont="1" applyBorder="1" applyAlignment="1">
      <alignment vertical="center"/>
    </xf>
    <xf numFmtId="0" fontId="39" fillId="0" borderId="9" xfId="0" applyFont="1" applyBorder="1" applyAlignment="1">
      <alignment horizontal="center" vertical="center"/>
    </xf>
    <xf numFmtId="0" fontId="39" fillId="0" borderId="8" xfId="0" applyFont="1" applyBorder="1" applyAlignment="1">
      <alignment horizontal="center" vertical="center"/>
    </xf>
    <xf numFmtId="0" fontId="39" fillId="0" borderId="4" xfId="0" applyFont="1" applyBorder="1" applyAlignment="1">
      <alignment horizontal="center" vertical="center"/>
    </xf>
    <xf numFmtId="0" fontId="39" fillId="0" borderId="7" xfId="0" applyFont="1" applyBorder="1" applyAlignment="1">
      <alignment vertical="center"/>
    </xf>
    <xf numFmtId="0" fontId="39" fillId="0" borderId="10" xfId="0" applyFont="1" applyBorder="1" applyAlignment="1">
      <alignment vertical="center"/>
    </xf>
    <xf numFmtId="1" fontId="39" fillId="0" borderId="13" xfId="0" applyNumberFormat="1" applyFont="1" applyBorder="1" applyAlignment="1">
      <alignment horizontal="center" vertical="center"/>
    </xf>
    <xf numFmtId="1" fontId="39" fillId="0" borderId="0" xfId="0" applyNumberFormat="1" applyFont="1" applyBorder="1" applyAlignment="1">
      <alignment horizontal="center" vertical="center"/>
    </xf>
    <xf numFmtId="0" fontId="0" fillId="0" borderId="4" xfId="0" applyBorder="1"/>
    <xf numFmtId="0" fontId="39" fillId="0" borderId="13" xfId="0" applyFont="1" applyBorder="1" applyAlignment="1">
      <alignment horizontal="center"/>
    </xf>
    <xf numFmtId="0" fontId="39" fillId="0" borderId="10" xfId="0" applyFont="1" applyBorder="1" applyAlignment="1">
      <alignment horizontal="center"/>
    </xf>
    <xf numFmtId="0" fontId="39" fillId="0" borderId="14" xfId="0" applyFont="1" applyBorder="1" applyAlignment="1">
      <alignment horizontal="center"/>
    </xf>
    <xf numFmtId="0" fontId="39" fillId="0" borderId="15" xfId="0" applyFont="1" applyBorder="1" applyAlignment="1">
      <alignment horizontal="center"/>
    </xf>
    <xf numFmtId="0" fontId="39" fillId="0" borderId="7" xfId="0" applyFont="1" applyBorder="1"/>
    <xf numFmtId="0" fontId="39" fillId="0" borderId="13" xfId="0" applyFont="1" applyBorder="1"/>
    <xf numFmtId="3" fontId="39" fillId="0" borderId="7" xfId="0" applyNumberFormat="1" applyFont="1" applyBorder="1" applyAlignment="1">
      <alignment horizontal="center"/>
    </xf>
    <xf numFmtId="3" fontId="39" fillId="0" borderId="0" xfId="0" applyNumberFormat="1" applyFont="1" applyBorder="1" applyAlignment="1">
      <alignment horizontal="center"/>
    </xf>
    <xf numFmtId="0" fontId="39" fillId="0" borderId="10" xfId="0" applyFont="1" applyBorder="1"/>
    <xf numFmtId="0" fontId="39" fillId="0" borderId="14" xfId="0" applyFont="1" applyBorder="1"/>
    <xf numFmtId="3" fontId="39" fillId="0" borderId="10" xfId="0" applyNumberFormat="1" applyFont="1" applyBorder="1" applyAlignment="1">
      <alignment horizontal="center"/>
    </xf>
    <xf numFmtId="3" fontId="39" fillId="0" borderId="15" xfId="0" applyNumberFormat="1" applyFont="1" applyBorder="1" applyAlignment="1">
      <alignment horizontal="center"/>
    </xf>
    <xf numFmtId="3" fontId="39" fillId="0" borderId="14" xfId="0" applyNumberFormat="1" applyFont="1" applyBorder="1" applyAlignment="1">
      <alignment horizontal="center"/>
    </xf>
    <xf numFmtId="0" fontId="39" fillId="0" borderId="0" xfId="0" applyFont="1"/>
    <xf numFmtId="0" fontId="20" fillId="0" borderId="0" xfId="0" applyFont="1"/>
    <xf numFmtId="0" fontId="39" fillId="0" borderId="11" xfId="0" applyFont="1" applyBorder="1"/>
    <xf numFmtId="0" fontId="39" fillId="0" borderId="12" xfId="0" applyFont="1" applyBorder="1"/>
    <xf numFmtId="3" fontId="39" fillId="0" borderId="11" xfId="0" applyNumberFormat="1" applyFont="1" applyBorder="1"/>
    <xf numFmtId="3" fontId="39" fillId="0" borderId="2" xfId="0" applyNumberFormat="1" applyFont="1" applyBorder="1"/>
    <xf numFmtId="3" fontId="39" fillId="0" borderId="12" xfId="0" applyNumberFormat="1" applyFont="1" applyBorder="1"/>
    <xf numFmtId="0" fontId="39" fillId="0" borderId="2" xfId="0" applyFont="1" applyBorder="1"/>
    <xf numFmtId="0" fontId="39" fillId="0" borderId="0" xfId="0" applyFont="1" applyBorder="1"/>
    <xf numFmtId="3" fontId="39" fillId="0" borderId="7" xfId="0" applyNumberFormat="1" applyFont="1" applyBorder="1"/>
    <xf numFmtId="3" fontId="39" fillId="0" borderId="13" xfId="0" applyNumberFormat="1" applyFont="1" applyBorder="1"/>
    <xf numFmtId="3" fontId="39" fillId="0" borderId="0" xfId="0" applyNumberFormat="1" applyFont="1" applyBorder="1"/>
    <xf numFmtId="0" fontId="19" fillId="0" borderId="7" xfId="0" applyFont="1" applyBorder="1"/>
    <xf numFmtId="0" fontId="19" fillId="0" borderId="0" xfId="0" applyFont="1" applyBorder="1"/>
    <xf numFmtId="0" fontId="9" fillId="0" borderId="0" xfId="0" applyFont="1" applyBorder="1"/>
    <xf numFmtId="3" fontId="39" fillId="0" borderId="10" xfId="0" applyNumberFormat="1" applyFont="1" applyBorder="1"/>
    <xf numFmtId="3" fontId="39" fillId="0" borderId="14" xfId="0" applyNumberFormat="1" applyFont="1" applyBorder="1"/>
    <xf numFmtId="3" fontId="39" fillId="0" borderId="15" xfId="0" applyNumberFormat="1" applyFont="1" applyBorder="1"/>
    <xf numFmtId="0" fontId="19" fillId="0" borderId="10" xfId="0" applyFont="1" applyBorder="1"/>
    <xf numFmtId="0" fontId="39" fillId="0" borderId="1" xfId="0" applyFont="1" applyBorder="1"/>
    <xf numFmtId="0" fontId="39" fillId="0" borderId="1" xfId="0" applyFont="1" applyBorder="1" applyAlignment="1">
      <alignment horizontal="center"/>
    </xf>
    <xf numFmtId="3" fontId="39" fillId="0" borderId="1" xfId="0" applyNumberFormat="1" applyFont="1" applyBorder="1" applyAlignment="1">
      <alignment horizontal="center"/>
    </xf>
    <xf numFmtId="0" fontId="39" fillId="0" borderId="5" xfId="0" applyFont="1" applyBorder="1"/>
    <xf numFmtId="0" fontId="39" fillId="0" borderId="9" xfId="0" applyFont="1" applyBorder="1"/>
    <xf numFmtId="0" fontId="39" fillId="0" borderId="4" xfId="0" applyFont="1" applyBorder="1"/>
    <xf numFmtId="0" fontId="27" fillId="0" borderId="0" xfId="0" applyFont="1" applyAlignment="1">
      <alignment horizontal="center"/>
    </xf>
    <xf numFmtId="0" fontId="39" fillId="0" borderId="4" xfId="0" applyFont="1" applyBorder="1" applyAlignment="1">
      <alignment horizontal="center"/>
    </xf>
    <xf numFmtId="0" fontId="39" fillId="0" borderId="6" xfId="0" applyFont="1" applyBorder="1" applyAlignment="1">
      <alignment horizontal="center"/>
    </xf>
    <xf numFmtId="2" fontId="39" fillId="0" borderId="0" xfId="0" applyNumberFormat="1" applyFont="1" applyBorder="1" applyAlignment="1">
      <alignment horizontal="center"/>
    </xf>
    <xf numFmtId="1" fontId="39" fillId="0" borderId="13" xfId="0" applyNumberFormat="1" applyFont="1" applyBorder="1" applyAlignment="1">
      <alignment horizontal="center"/>
    </xf>
    <xf numFmtId="0" fontId="39" fillId="0" borderId="3" xfId="0" applyFont="1" applyBorder="1" applyAlignment="1">
      <alignment horizontal="center"/>
    </xf>
    <xf numFmtId="2" fontId="39" fillId="0" borderId="15" xfId="0" applyNumberFormat="1" applyFont="1" applyBorder="1" applyAlignment="1">
      <alignment horizontal="center"/>
    </xf>
    <xf numFmtId="0" fontId="39" fillId="0" borderId="0" xfId="0" applyFont="1" applyBorder="1" applyAlignment="1">
      <alignment horizontal="center"/>
    </xf>
    <xf numFmtId="0" fontId="19" fillId="0" borderId="0" xfId="0" applyFont="1"/>
    <xf numFmtId="0" fontId="39" fillId="0" borderId="11" xfId="0" applyFont="1" applyBorder="1" applyAlignment="1"/>
    <xf numFmtId="165" fontId="39" fillId="0" borderId="7" xfId="0" applyNumberFormat="1" applyFont="1" applyBorder="1" applyAlignment="1">
      <alignment horizontal="center" vertical="center"/>
    </xf>
    <xf numFmtId="165" fontId="39" fillId="0" borderId="10" xfId="0" applyNumberFormat="1" applyFont="1" applyBorder="1" applyAlignment="1">
      <alignment horizontal="center" vertical="center"/>
    </xf>
    <xf numFmtId="0" fontId="41" fillId="0" borderId="11" xfId="0" applyFont="1" applyBorder="1" applyAlignment="1">
      <alignment horizontal="centerContinuous" vertical="center"/>
    </xf>
    <xf numFmtId="0" fontId="41" fillId="0" borderId="2" xfId="0" applyFont="1" applyBorder="1" applyAlignment="1">
      <alignment horizontal="centerContinuous" vertical="center"/>
    </xf>
    <xf numFmtId="0" fontId="9" fillId="0" borderId="0" xfId="0" applyFont="1" applyBorder="1" applyAlignment="1">
      <alignment horizontal="centerContinuous" vertical="center"/>
    </xf>
    <xf numFmtId="0" fontId="41" fillId="0" borderId="7" xfId="0" applyFont="1" applyBorder="1" applyAlignment="1">
      <alignment horizontal="centerContinuous" vertical="center"/>
    </xf>
    <xf numFmtId="0" fontId="41" fillId="0" borderId="13" xfId="0" applyFont="1" applyBorder="1" applyAlignment="1">
      <alignment horizontal="centerContinuous" vertical="center"/>
    </xf>
    <xf numFmtId="0" fontId="41" fillId="0" borderId="10" xfId="0" applyFont="1" applyBorder="1" applyAlignment="1">
      <alignment horizontal="centerContinuous" vertical="center"/>
    </xf>
    <xf numFmtId="0" fontId="41" fillId="0" borderId="14" xfId="0" applyFont="1" applyBorder="1" applyAlignment="1">
      <alignment horizontal="centerContinuous" vertical="center"/>
    </xf>
    <xf numFmtId="0" fontId="9" fillId="0" borderId="15" xfId="0" applyFont="1" applyBorder="1" applyAlignment="1">
      <alignment horizontal="centerContinuous" vertical="center"/>
    </xf>
    <xf numFmtId="0" fontId="3" fillId="0" borderId="7" xfId="0" applyFont="1" applyBorder="1" applyAlignment="1">
      <alignment horizontal="center" vertical="center"/>
    </xf>
    <xf numFmtId="0" fontId="3" fillId="0" borderId="13" xfId="0" applyFont="1" applyBorder="1" applyAlignment="1">
      <alignment horizontal="center" vertical="center"/>
    </xf>
    <xf numFmtId="0" fontId="3" fillId="0" borderId="7" xfId="0" applyFont="1" applyBorder="1" applyAlignment="1">
      <alignment vertical="center"/>
    </xf>
    <xf numFmtId="0" fontId="3" fillId="0" borderId="13" xfId="0" applyFont="1" applyBorder="1" applyAlignment="1">
      <alignment vertical="center"/>
    </xf>
    <xf numFmtId="0" fontId="9" fillId="0" borderId="6" xfId="0" quotePrefix="1" applyFont="1" applyBorder="1" applyAlignment="1">
      <alignment horizontal="centerContinuous" vertical="center"/>
    </xf>
    <xf numFmtId="0" fontId="19" fillId="0" borderId="0" xfId="0" applyFont="1" applyAlignment="1">
      <alignment horizontal="center" vertical="center"/>
    </xf>
    <xf numFmtId="0" fontId="19" fillId="0" borderId="7" xfId="0" applyFont="1" applyBorder="1" applyAlignment="1">
      <alignment horizontal="center" vertical="center"/>
    </xf>
    <xf numFmtId="0" fontId="19" fillId="0" borderId="13" xfId="0" applyFont="1" applyBorder="1" applyAlignment="1">
      <alignment horizontal="center" vertical="center"/>
    </xf>
    <xf numFmtId="0" fontId="42" fillId="0" borderId="7" xfId="0" applyFont="1" applyBorder="1" applyAlignment="1">
      <alignment horizontal="center" vertical="center"/>
    </xf>
    <xf numFmtId="0" fontId="42" fillId="0" borderId="13" xfId="0" applyFont="1" applyBorder="1" applyAlignment="1">
      <alignment horizontal="center" vertical="center"/>
    </xf>
    <xf numFmtId="3" fontId="41" fillId="0" borderId="7" xfId="0" applyNumberFormat="1" applyFont="1" applyBorder="1" applyAlignment="1">
      <alignment horizontal="center" vertical="center"/>
    </xf>
    <xf numFmtId="3" fontId="41" fillId="0" borderId="13" xfId="0" applyNumberFormat="1" applyFont="1" applyBorder="1" applyAlignment="1">
      <alignment horizontal="center" vertical="center"/>
    </xf>
    <xf numFmtId="3" fontId="41" fillId="0" borderId="0" xfId="0" applyNumberFormat="1" applyFont="1" applyBorder="1" applyAlignment="1">
      <alignment horizontal="center" vertical="center"/>
    </xf>
    <xf numFmtId="3" fontId="19" fillId="0" borderId="10" xfId="0" applyNumberFormat="1" applyFont="1" applyBorder="1" applyAlignment="1">
      <alignment horizontal="center" vertical="center"/>
    </xf>
    <xf numFmtId="3" fontId="19" fillId="0" borderId="15" xfId="0" applyNumberFormat="1" applyFont="1" applyBorder="1" applyAlignment="1">
      <alignment horizontal="center" vertical="center"/>
    </xf>
    <xf numFmtId="3" fontId="19" fillId="0" borderId="14" xfId="0" applyNumberFormat="1" applyFont="1" applyBorder="1" applyAlignment="1">
      <alignment horizontal="center" vertical="center"/>
    </xf>
    <xf numFmtId="3" fontId="42" fillId="0" borderId="10" xfId="0" applyNumberFormat="1" applyFont="1" applyBorder="1" applyAlignment="1">
      <alignment horizontal="center" vertical="center"/>
    </xf>
    <xf numFmtId="3" fontId="42" fillId="0" borderId="14" xfId="0" applyNumberFormat="1" applyFont="1" applyBorder="1" applyAlignment="1">
      <alignment horizontal="center" vertical="center"/>
    </xf>
    <xf numFmtId="3" fontId="41" fillId="0" borderId="10" xfId="0" applyNumberFormat="1" applyFont="1" applyBorder="1" applyAlignment="1">
      <alignment horizontal="center" vertical="center"/>
    </xf>
    <xf numFmtId="3" fontId="41" fillId="0" borderId="14" xfId="0" applyNumberFormat="1" applyFont="1" applyBorder="1" applyAlignment="1">
      <alignment horizontal="center" vertical="center"/>
    </xf>
    <xf numFmtId="0" fontId="43" fillId="0" borderId="0" xfId="0" applyFont="1" applyAlignment="1">
      <alignment horizontal="center" vertical="center"/>
    </xf>
    <xf numFmtId="0" fontId="10" fillId="0" borderId="5" xfId="0" applyFont="1" applyBorder="1" applyAlignment="1">
      <alignment vertical="center"/>
    </xf>
    <xf numFmtId="0" fontId="19" fillId="0" borderId="11" xfId="0" applyFont="1" applyBorder="1" applyAlignment="1">
      <alignment horizontal="center" vertical="center"/>
    </xf>
    <xf numFmtId="0" fontId="19" fillId="0" borderId="12" xfId="0" applyFont="1" applyBorder="1" applyAlignment="1">
      <alignment horizontal="center" vertical="center"/>
    </xf>
    <xf numFmtId="0" fontId="19" fillId="0" borderId="2" xfId="0" applyFont="1" applyBorder="1" applyAlignment="1">
      <alignment horizontal="center" vertical="center"/>
    </xf>
    <xf numFmtId="0" fontId="42" fillId="0" borderId="12" xfId="0" applyFont="1" applyBorder="1" applyAlignment="1">
      <alignment horizontal="center" vertical="center"/>
    </xf>
    <xf numFmtId="3" fontId="41" fillId="0" borderId="11" xfId="0" applyNumberFormat="1" applyFont="1" applyBorder="1" applyAlignment="1">
      <alignment horizontal="center" vertical="center"/>
    </xf>
    <xf numFmtId="3" fontId="41" fillId="0" borderId="2" xfId="0" applyNumberFormat="1" applyFont="1" applyBorder="1" applyAlignment="1">
      <alignment horizontal="center" vertical="center"/>
    </xf>
    <xf numFmtId="0" fontId="10" fillId="0" borderId="3" xfId="0" applyFont="1" applyBorder="1" applyAlignment="1">
      <alignment vertical="center"/>
    </xf>
    <xf numFmtId="2" fontId="19" fillId="0" borderId="10" xfId="0" applyNumberFormat="1" applyFont="1" applyBorder="1" applyAlignment="1">
      <alignment horizontal="center" vertical="center"/>
    </xf>
    <xf numFmtId="2" fontId="19" fillId="0" borderId="15" xfId="0" applyNumberFormat="1" applyFont="1" applyBorder="1" applyAlignment="1">
      <alignment horizontal="center" vertical="center"/>
    </xf>
    <xf numFmtId="2" fontId="41" fillId="0" borderId="15" xfId="0" applyNumberFormat="1" applyFont="1" applyBorder="1" applyAlignment="1">
      <alignment horizontal="center" vertical="center"/>
    </xf>
    <xf numFmtId="3" fontId="41" fillId="0" borderId="15" xfId="0" applyNumberFormat="1" applyFont="1" applyBorder="1" applyAlignment="1">
      <alignment horizontal="center" vertical="center"/>
    </xf>
    <xf numFmtId="2" fontId="41" fillId="0" borderId="10" xfId="0" applyNumberFormat="1" applyFont="1" applyBorder="1" applyAlignment="1">
      <alignment horizontal="center" vertical="center"/>
    </xf>
    <xf numFmtId="0" fontId="6" fillId="0" borderId="11" xfId="0" applyFont="1" applyBorder="1" applyAlignment="1">
      <alignment horizontal="centerContinuous" vertical="center"/>
    </xf>
    <xf numFmtId="0" fontId="0" fillId="0" borderId="3" xfId="0" applyBorder="1" applyAlignment="1">
      <alignment horizontal="center" vertical="top"/>
    </xf>
    <xf numFmtId="0" fontId="28" fillId="0" borderId="1" xfId="0" quotePrefix="1" applyFont="1" applyBorder="1" applyAlignment="1">
      <alignment horizontal="centerContinuous" vertical="center" wrapText="1"/>
    </xf>
    <xf numFmtId="0" fontId="6" fillId="0" borderId="1" xfId="0" applyFont="1" applyBorder="1" applyAlignment="1">
      <alignment horizontal="center" vertical="center"/>
    </xf>
    <xf numFmtId="0" fontId="6" fillId="0" borderId="9" xfId="0" applyFont="1" applyBorder="1" applyAlignment="1">
      <alignment horizontal="center" vertical="center"/>
    </xf>
    <xf numFmtId="0" fontId="28" fillId="0" borderId="1" xfId="0" applyFont="1" applyBorder="1" applyAlignment="1">
      <alignment horizontal="centerContinuous" vertical="center" wrapText="1"/>
    </xf>
    <xf numFmtId="0" fontId="28" fillId="0" borderId="1" xfId="0" applyFont="1" applyBorder="1" applyAlignment="1">
      <alignment horizontal="center" vertical="center" wrapText="1"/>
    </xf>
    <xf numFmtId="0" fontId="28" fillId="0" borderId="12" xfId="0" applyFont="1" applyBorder="1" applyAlignment="1">
      <alignment horizontal="center" vertical="center" wrapText="1"/>
    </xf>
    <xf numFmtId="0" fontId="10" fillId="0" borderId="0" xfId="0" applyFont="1" applyAlignment="1">
      <alignment vertical="center"/>
    </xf>
    <xf numFmtId="0" fontId="19" fillId="0" borderId="5" xfId="0" applyFont="1" applyBorder="1" applyAlignment="1">
      <alignment horizontal="center" vertical="center"/>
    </xf>
    <xf numFmtId="0" fontId="19" fillId="0" borderId="10" xfId="0" applyFont="1" applyBorder="1" applyAlignment="1">
      <alignment vertical="center"/>
    </xf>
    <xf numFmtId="1" fontId="39" fillId="0" borderId="9" xfId="0" applyNumberFormat="1" applyFont="1" applyBorder="1" applyAlignment="1">
      <alignment horizontal="center" vertical="center"/>
    </xf>
    <xf numFmtId="1" fontId="39" fillId="0" borderId="8" xfId="0" applyNumberFormat="1" applyFont="1" applyBorder="1" applyAlignment="1">
      <alignment horizontal="center" vertical="center"/>
    </xf>
    <xf numFmtId="1" fontId="39" fillId="0" borderId="4" xfId="0" applyNumberFormat="1" applyFont="1" applyBorder="1" applyAlignment="1">
      <alignment horizontal="center" vertical="center"/>
    </xf>
    <xf numFmtId="0" fontId="19" fillId="0" borderId="7" xfId="0" applyFont="1" applyBorder="1" applyAlignment="1">
      <alignment vertical="center"/>
    </xf>
    <xf numFmtId="3" fontId="39" fillId="0" borderId="13" xfId="0" applyNumberFormat="1" applyFont="1" applyBorder="1" applyAlignment="1">
      <alignment horizontal="center" vertical="center"/>
    </xf>
    <xf numFmtId="3" fontId="39" fillId="0" borderId="2" xfId="0" applyNumberFormat="1" applyFont="1" applyBorder="1" applyAlignment="1">
      <alignment horizontal="center" vertical="center"/>
    </xf>
    <xf numFmtId="3" fontId="39" fillId="0" borderId="11" xfId="0" applyNumberFormat="1" applyFont="1" applyBorder="1" applyAlignment="1">
      <alignment horizontal="center" vertical="center"/>
    </xf>
    <xf numFmtId="3" fontId="39" fillId="0" borderId="12" xfId="0" applyNumberFormat="1" applyFont="1" applyBorder="1" applyAlignment="1">
      <alignment horizontal="center" vertical="center"/>
    </xf>
    <xf numFmtId="0" fontId="43" fillId="0" borderId="7" xfId="0" applyFont="1" applyBorder="1" applyAlignment="1">
      <alignment vertical="center"/>
    </xf>
    <xf numFmtId="0" fontId="19" fillId="0" borderId="0" xfId="0" applyFont="1" applyBorder="1" applyAlignment="1">
      <alignment vertical="center"/>
    </xf>
    <xf numFmtId="3" fontId="20" fillId="0" borderId="7" xfId="0" applyNumberFormat="1" applyFont="1" applyBorder="1" applyAlignment="1">
      <alignment horizontal="center" vertical="center"/>
    </xf>
    <xf numFmtId="3" fontId="20" fillId="0" borderId="0" xfId="0" applyNumberFormat="1" applyFont="1" applyBorder="1" applyAlignment="1">
      <alignment horizontal="center" vertical="center"/>
    </xf>
    <xf numFmtId="3" fontId="20" fillId="0" borderId="13" xfId="0" applyNumberFormat="1" applyFont="1" applyBorder="1" applyAlignment="1">
      <alignment horizontal="center" vertical="center"/>
    </xf>
    <xf numFmtId="0" fontId="14" fillId="0" borderId="7" xfId="0" applyFont="1" applyBorder="1" applyAlignment="1">
      <alignment vertical="center"/>
    </xf>
    <xf numFmtId="3" fontId="20" fillId="0" borderId="10" xfId="0" applyNumberFormat="1" applyFont="1" applyBorder="1" applyAlignment="1">
      <alignment horizontal="center" vertical="center"/>
    </xf>
    <xf numFmtId="3" fontId="20" fillId="0" borderId="15" xfId="0" applyNumberFormat="1" applyFont="1" applyBorder="1" applyAlignment="1">
      <alignment horizontal="center" vertical="center"/>
    </xf>
    <xf numFmtId="3" fontId="20" fillId="0" borderId="14" xfId="0" applyNumberFormat="1" applyFont="1" applyBorder="1" applyAlignment="1">
      <alignment horizontal="center" vertical="center"/>
    </xf>
    <xf numFmtId="0" fontId="19" fillId="0" borderId="11" xfId="0" applyFont="1" applyBorder="1" applyAlignment="1">
      <alignment vertical="center"/>
    </xf>
    <xf numFmtId="0" fontId="19" fillId="0" borderId="5" xfId="0" applyFont="1" applyBorder="1" applyAlignment="1">
      <alignment vertical="center"/>
    </xf>
    <xf numFmtId="0" fontId="39" fillId="0" borderId="0" xfId="0" applyFont="1" applyAlignment="1">
      <alignment vertical="center"/>
    </xf>
    <xf numFmtId="0" fontId="14" fillId="0" borderId="0" xfId="0" applyFont="1" applyBorder="1" applyAlignment="1">
      <alignment vertical="center"/>
    </xf>
    <xf numFmtId="0" fontId="39" fillId="0" borderId="0" xfId="0" applyFont="1" applyAlignment="1">
      <alignment horizontal="center"/>
    </xf>
    <xf numFmtId="0" fontId="14" fillId="0" borderId="13" xfId="0" applyFont="1" applyBorder="1" applyAlignment="1">
      <alignment vertical="center"/>
    </xf>
    <xf numFmtId="0" fontId="20" fillId="0" borderId="0" xfId="0" applyFont="1" applyAlignment="1">
      <alignment vertical="center"/>
    </xf>
    <xf numFmtId="3" fontId="39" fillId="0" borderId="0" xfId="0" applyNumberFormat="1" applyFont="1" applyAlignment="1">
      <alignment horizontal="center"/>
    </xf>
    <xf numFmtId="3" fontId="39" fillId="0" borderId="11" xfId="0" applyNumberFormat="1" applyFont="1" applyBorder="1" applyAlignment="1">
      <alignment vertical="center"/>
    </xf>
    <xf numFmtId="3" fontId="39" fillId="0" borderId="0" xfId="0" applyNumberFormat="1" applyFont="1" applyBorder="1" applyAlignment="1">
      <alignment vertical="center"/>
    </xf>
    <xf numFmtId="3" fontId="39" fillId="0" borderId="13" xfId="0" applyNumberFormat="1" applyFont="1" applyBorder="1" applyAlignment="1">
      <alignment vertical="center"/>
    </xf>
    <xf numFmtId="3" fontId="39" fillId="0" borderId="7" xfId="0" applyNumberFormat="1" applyFont="1" applyBorder="1" applyAlignment="1">
      <alignment vertical="center"/>
    </xf>
    <xf numFmtId="3" fontId="39" fillId="0" borderId="0" xfId="0" applyNumberFormat="1" applyFont="1" applyAlignment="1">
      <alignment vertical="center"/>
    </xf>
    <xf numFmtId="3" fontId="20" fillId="0" borderId="0" xfId="0" applyNumberFormat="1" applyFont="1" applyAlignment="1">
      <alignment vertical="center"/>
    </xf>
    <xf numFmtId="3" fontId="20" fillId="0" borderId="10" xfId="0" applyNumberFormat="1" applyFont="1" applyBorder="1" applyAlignment="1">
      <alignment vertical="center"/>
    </xf>
    <xf numFmtId="3" fontId="20" fillId="0" borderId="15" xfId="0" applyNumberFormat="1" applyFont="1" applyBorder="1" applyAlignment="1">
      <alignment vertical="center"/>
    </xf>
    <xf numFmtId="3" fontId="39" fillId="0" borderId="0" xfId="0" applyNumberFormat="1" applyFont="1"/>
    <xf numFmtId="0" fontId="19" fillId="0" borderId="11" xfId="0" applyFont="1" applyBorder="1"/>
    <xf numFmtId="0" fontId="19" fillId="0" borderId="3" xfId="0" applyFont="1" applyBorder="1" applyAlignment="1">
      <alignment vertical="center"/>
    </xf>
    <xf numFmtId="3" fontId="39" fillId="0" borderId="0" xfId="0" applyNumberFormat="1" applyFont="1" applyAlignment="1">
      <alignment horizontal="center" vertical="center"/>
    </xf>
    <xf numFmtId="3" fontId="20" fillId="0" borderId="0" xfId="0" applyNumberFormat="1" applyFont="1" applyAlignment="1">
      <alignment horizontal="center" vertical="center"/>
    </xf>
    <xf numFmtId="0" fontId="39" fillId="0" borderId="0" xfId="0" applyFont="1" applyAlignment="1">
      <alignment horizontal="center" vertical="center"/>
    </xf>
    <xf numFmtId="0" fontId="20" fillId="0" borderId="0" xfId="0" applyFont="1" applyAlignment="1">
      <alignment horizontal="center" vertical="center"/>
    </xf>
    <xf numFmtId="0" fontId="19" fillId="0" borderId="9" xfId="0" applyFont="1" applyBorder="1" applyAlignment="1">
      <alignment horizontal="center" vertical="center"/>
    </xf>
    <xf numFmtId="0" fontId="19" fillId="0" borderId="4" xfId="0" applyFont="1" applyBorder="1" applyAlignment="1">
      <alignment horizontal="center" vertical="center"/>
    </xf>
    <xf numFmtId="0" fontId="39" fillId="0" borderId="5" xfId="0" applyFont="1" applyBorder="1" applyAlignment="1">
      <alignment vertical="center"/>
    </xf>
    <xf numFmtId="0" fontId="6" fillId="0" borderId="8" xfId="0" applyFont="1" applyBorder="1" applyAlignment="1">
      <alignment horizontal="center" vertical="center"/>
    </xf>
    <xf numFmtId="0" fontId="39" fillId="0" borderId="6" xfId="0" applyFont="1" applyBorder="1" applyAlignment="1">
      <alignment vertical="center"/>
    </xf>
    <xf numFmtId="3" fontId="6" fillId="0" borderId="13" xfId="0" applyNumberFormat="1" applyFont="1" applyBorder="1" applyAlignment="1">
      <alignment horizontal="center" vertical="center"/>
    </xf>
    <xf numFmtId="0" fontId="39" fillId="0" borderId="3" xfId="0" applyFont="1" applyBorder="1" applyAlignment="1">
      <alignment vertical="center"/>
    </xf>
    <xf numFmtId="3" fontId="39" fillId="0" borderId="14" xfId="0" applyNumberFormat="1" applyFont="1" applyBorder="1" applyAlignment="1">
      <alignment horizontal="center" vertical="center"/>
    </xf>
    <xf numFmtId="0" fontId="6" fillId="0" borderId="4" xfId="0" applyFont="1" applyBorder="1" applyAlignment="1">
      <alignment horizontal="center" vertical="center"/>
    </xf>
    <xf numFmtId="0" fontId="6" fillId="0" borderId="7" xfId="0" applyFont="1" applyBorder="1" applyAlignment="1">
      <alignment horizontal="center" vertical="center"/>
    </xf>
    <xf numFmtId="0" fontId="6" fillId="0" borderId="13" xfId="0" applyFont="1" applyBorder="1" applyAlignment="1">
      <alignment horizontal="center" vertical="center"/>
    </xf>
    <xf numFmtId="0" fontId="6" fillId="0" borderId="12" xfId="0" applyFont="1" applyBorder="1" applyAlignment="1">
      <alignment horizontal="center" vertical="center"/>
    </xf>
    <xf numFmtId="0" fontId="6" fillId="0" borderId="2" xfId="0" applyFont="1" applyBorder="1" applyAlignment="1">
      <alignment horizontal="center" vertical="center"/>
    </xf>
    <xf numFmtId="0" fontId="6" fillId="0" borderId="15" xfId="0" applyFont="1" applyBorder="1" applyAlignment="1">
      <alignment horizontal="center" vertical="center"/>
    </xf>
    <xf numFmtId="0" fontId="6" fillId="0" borderId="11" xfId="0" applyFont="1" applyBorder="1" applyAlignment="1">
      <alignment horizontal="center" vertical="center"/>
    </xf>
    <xf numFmtId="0" fontId="6" fillId="0" borderId="5" xfId="0" applyFont="1" applyBorder="1"/>
    <xf numFmtId="3" fontId="6" fillId="0" borderId="12" xfId="0" applyNumberFormat="1" applyFont="1" applyBorder="1" applyAlignment="1">
      <alignment vertical="center"/>
    </xf>
    <xf numFmtId="3" fontId="6" fillId="0" borderId="2" xfId="0" applyNumberFormat="1" applyFont="1" applyBorder="1" applyAlignment="1">
      <alignment vertical="center"/>
    </xf>
    <xf numFmtId="3" fontId="6" fillId="0" borderId="11" xfId="0" applyNumberFormat="1" applyFont="1" applyBorder="1" applyAlignment="1">
      <alignment vertical="center"/>
    </xf>
    <xf numFmtId="0" fontId="6" fillId="0" borderId="6" xfId="0" applyFont="1" applyBorder="1"/>
    <xf numFmtId="3" fontId="6" fillId="0" borderId="0" xfId="0" applyNumberFormat="1" applyFont="1" applyBorder="1" applyAlignment="1">
      <alignment horizontal="center" vertical="center"/>
    </xf>
    <xf numFmtId="3" fontId="6" fillId="0" borderId="7" xfId="0" applyNumberFormat="1" applyFont="1" applyBorder="1" applyAlignment="1">
      <alignment horizontal="center" vertical="center"/>
    </xf>
    <xf numFmtId="0" fontId="6" fillId="0" borderId="0" xfId="0" applyFont="1" applyAlignment="1">
      <alignment horizontal="center"/>
    </xf>
    <xf numFmtId="3" fontId="6" fillId="0" borderId="15" xfId="0" applyNumberFormat="1" applyFont="1" applyBorder="1" applyAlignment="1">
      <alignment horizontal="center" vertical="center"/>
    </xf>
    <xf numFmtId="3" fontId="6" fillId="0" borderId="14" xfId="0" applyNumberFormat="1" applyFont="1" applyBorder="1" applyAlignment="1">
      <alignment horizontal="center" vertical="center"/>
    </xf>
    <xf numFmtId="3" fontId="6" fillId="0" borderId="10" xfId="0" applyNumberFormat="1" applyFont="1" applyBorder="1" applyAlignment="1">
      <alignment horizontal="center" vertical="center"/>
    </xf>
    <xf numFmtId="3" fontId="6" fillId="0" borderId="0" xfId="0" applyNumberFormat="1" applyFont="1" applyAlignment="1">
      <alignment horizontal="center" vertical="center"/>
    </xf>
    <xf numFmtId="3" fontId="6" fillId="0" borderId="11" xfId="0" applyNumberFormat="1" applyFont="1" applyBorder="1" applyAlignment="1">
      <alignment horizontal="center" vertical="center"/>
    </xf>
    <xf numFmtId="3" fontId="6" fillId="0" borderId="12" xfId="0" applyNumberFormat="1" applyFont="1" applyBorder="1" applyAlignment="1">
      <alignment horizontal="center" vertical="center"/>
    </xf>
    <xf numFmtId="3" fontId="6" fillId="0" borderId="2" xfId="0" applyNumberFormat="1" applyFont="1" applyBorder="1" applyAlignment="1">
      <alignment horizontal="center" vertical="center"/>
    </xf>
    <xf numFmtId="0" fontId="6" fillId="0" borderId="11" xfId="0" applyFont="1" applyBorder="1" applyAlignment="1">
      <alignment vertical="center"/>
    </xf>
    <xf numFmtId="0" fontId="6" fillId="0" borderId="12" xfId="0" applyFont="1" applyBorder="1" applyAlignment="1">
      <alignment vertical="center"/>
    </xf>
    <xf numFmtId="0" fontId="6" fillId="0" borderId="7" xfId="0" applyFont="1" applyBorder="1" applyAlignment="1">
      <alignment vertical="center"/>
    </xf>
    <xf numFmtId="0" fontId="6" fillId="0" borderId="0" xfId="0" applyFont="1" applyBorder="1" applyAlignment="1">
      <alignment vertical="center"/>
    </xf>
    <xf numFmtId="0" fontId="6" fillId="0" borderId="15" xfId="0" applyFont="1" applyBorder="1" applyAlignment="1">
      <alignment vertical="center"/>
    </xf>
    <xf numFmtId="0" fontId="6" fillId="0" borderId="10" xfId="0" applyFont="1" applyBorder="1" applyAlignment="1">
      <alignment horizontal="center" vertical="center"/>
    </xf>
    <xf numFmtId="0" fontId="6" fillId="0" borderId="14" xfId="0" applyFont="1" applyBorder="1" applyAlignment="1">
      <alignment horizontal="center" vertical="center"/>
    </xf>
    <xf numFmtId="0" fontId="6" fillId="0" borderId="10" xfId="0" applyFont="1" applyBorder="1" applyAlignment="1">
      <alignment vertical="center"/>
    </xf>
    <xf numFmtId="3" fontId="6" fillId="0" borderId="0" xfId="0" applyNumberFormat="1" applyFont="1" applyAlignment="1">
      <alignment vertical="center"/>
    </xf>
    <xf numFmtId="0" fontId="0" fillId="0" borderId="15" xfId="0" applyBorder="1" applyAlignment="1">
      <alignment horizontal="center"/>
    </xf>
    <xf numFmtId="3" fontId="39" fillId="0" borderId="9" xfId="0" applyNumberFormat="1" applyFont="1" applyBorder="1" applyAlignment="1">
      <alignment vertical="center"/>
    </xf>
    <xf numFmtId="3" fontId="14" fillId="0" borderId="8" xfId="0" applyNumberFormat="1" applyFont="1" applyBorder="1" applyAlignment="1">
      <alignment horizontal="center" vertical="center" wrapText="1"/>
    </xf>
    <xf numFmtId="3" fontId="14" fillId="0" borderId="4" xfId="0" applyNumberFormat="1" applyFont="1" applyBorder="1" applyAlignment="1">
      <alignment horizontal="center" vertical="center" wrapText="1"/>
    </xf>
    <xf numFmtId="3" fontId="39" fillId="0" borderId="3" xfId="0" applyNumberFormat="1" applyFont="1" applyBorder="1" applyAlignment="1">
      <alignment vertical="center"/>
    </xf>
    <xf numFmtId="3" fontId="14" fillId="0" borderId="14" xfId="0" applyNumberFormat="1" applyFont="1" applyBorder="1" applyAlignment="1">
      <alignment horizontal="center" vertical="center" wrapText="1"/>
    </xf>
    <xf numFmtId="3" fontId="16" fillId="0" borderId="14" xfId="0" applyNumberFormat="1" applyFont="1" applyBorder="1" applyAlignment="1">
      <alignment horizontal="center" vertical="center" wrapText="1"/>
    </xf>
    <xf numFmtId="3" fontId="16" fillId="0" borderId="3" xfId="0" applyNumberFormat="1" applyFont="1" applyBorder="1" applyAlignment="1">
      <alignment horizontal="center" vertical="center" wrapText="1"/>
    </xf>
    <xf numFmtId="3" fontId="45" fillId="0" borderId="16" xfId="0" applyNumberFormat="1" applyFont="1" applyFill="1" applyBorder="1" applyAlignment="1" applyProtection="1">
      <alignment vertical="center"/>
    </xf>
    <xf numFmtId="3" fontId="45" fillId="0" borderId="5" xfId="0" applyNumberFormat="1" applyFont="1" applyFill="1" applyBorder="1" applyAlignment="1" applyProtection="1">
      <alignment horizontal="center" vertical="center"/>
    </xf>
    <xf numFmtId="3" fontId="46" fillId="0" borderId="0" xfId="0" applyNumberFormat="1" applyFont="1" applyFill="1" applyBorder="1" applyAlignment="1" applyProtection="1">
      <alignment horizontal="center" vertical="center"/>
    </xf>
    <xf numFmtId="3" fontId="45" fillId="0" borderId="17" xfId="0" applyNumberFormat="1" applyFont="1" applyFill="1" applyBorder="1" applyAlignment="1" applyProtection="1">
      <alignment vertical="center"/>
    </xf>
    <xf numFmtId="3" fontId="45" fillId="0" borderId="6" xfId="0" applyNumberFormat="1" applyFont="1" applyFill="1" applyBorder="1" applyAlignment="1" applyProtection="1">
      <alignment horizontal="center" vertical="center"/>
    </xf>
    <xf numFmtId="3" fontId="45" fillId="0" borderId="17" xfId="0" quotePrefix="1" applyNumberFormat="1" applyFont="1" applyFill="1" applyBorder="1" applyAlignment="1" applyProtection="1">
      <alignment horizontal="left" vertical="center"/>
    </xf>
    <xf numFmtId="3" fontId="45" fillId="0" borderId="18" xfId="0" applyNumberFormat="1" applyFont="1" applyFill="1" applyBorder="1" applyAlignment="1" applyProtection="1">
      <alignment vertical="center"/>
    </xf>
    <xf numFmtId="3" fontId="45" fillId="0" borderId="3" xfId="0" applyNumberFormat="1" applyFont="1" applyFill="1" applyBorder="1" applyAlignment="1" applyProtection="1">
      <alignment horizontal="center" vertical="center"/>
    </xf>
    <xf numFmtId="3" fontId="39" fillId="0" borderId="3" xfId="0" applyNumberFormat="1" applyFont="1" applyBorder="1" applyAlignment="1">
      <alignment horizontal="center" vertical="center"/>
    </xf>
    <xf numFmtId="0" fontId="19" fillId="0" borderId="0" xfId="0" applyFont="1" applyBorder="1" applyAlignment="1">
      <alignment horizontal="center"/>
    </xf>
    <xf numFmtId="0" fontId="19" fillId="0" borderId="0" xfId="0" applyFont="1" applyAlignment="1">
      <alignment horizontal="center"/>
    </xf>
    <xf numFmtId="3" fontId="19" fillId="0" borderId="1" xfId="0" applyNumberFormat="1" applyFont="1" applyBorder="1" applyAlignment="1">
      <alignment horizontal="center" vertical="center" wrapText="1"/>
    </xf>
    <xf numFmtId="3" fontId="19" fillId="0" borderId="0" xfId="0" applyNumberFormat="1" applyFont="1" applyAlignment="1">
      <alignment horizontal="center" vertical="center"/>
    </xf>
    <xf numFmtId="3" fontId="14" fillId="0" borderId="1" xfId="0" applyNumberFormat="1" applyFont="1" applyBorder="1" applyAlignment="1">
      <alignment horizontal="center" vertical="center" wrapText="1"/>
    </xf>
    <xf numFmtId="0" fontId="45" fillId="0" borderId="1" xfId="0" applyNumberFormat="1" applyFont="1" applyFill="1" applyBorder="1" applyAlignment="1" applyProtection="1">
      <alignment horizontal="center" vertical="center"/>
    </xf>
    <xf numFmtId="0" fontId="45" fillId="0" borderId="1" xfId="0" applyNumberFormat="1" applyFont="1" applyFill="1" applyBorder="1" applyAlignment="1" applyProtection="1">
      <alignment horizontal="center" vertical="center" wrapText="1"/>
    </xf>
    <xf numFmtId="3" fontId="45" fillId="0" borderId="1" xfId="0" applyNumberFormat="1" applyFont="1" applyFill="1" applyBorder="1" applyAlignment="1" applyProtection="1">
      <alignment vertical="center"/>
    </xf>
    <xf numFmtId="3" fontId="45" fillId="0" borderId="1" xfId="0" applyNumberFormat="1" applyFont="1" applyFill="1" applyBorder="1" applyAlignment="1" applyProtection="1">
      <alignment horizontal="center" vertical="center"/>
    </xf>
    <xf numFmtId="3" fontId="45" fillId="0" borderId="1" xfId="0" quotePrefix="1" applyNumberFormat="1" applyFont="1" applyFill="1" applyBorder="1" applyAlignment="1" applyProtection="1">
      <alignment horizontal="left" vertical="center"/>
    </xf>
    <xf numFmtId="3" fontId="45" fillId="0" borderId="0" xfId="0" applyNumberFormat="1" applyFont="1" applyFill="1" applyBorder="1" applyAlignment="1" applyProtection="1">
      <alignment vertical="center"/>
    </xf>
    <xf numFmtId="0" fontId="15" fillId="0" borderId="0" xfId="0" applyFont="1" applyAlignment="1">
      <alignment horizontal="center"/>
    </xf>
    <xf numFmtId="0" fontId="49" fillId="0" borderId="7" xfId="0" applyFont="1" applyFill="1" applyBorder="1" applyAlignment="1" applyProtection="1">
      <alignment horizontal="center" vertical="center" wrapText="1"/>
    </xf>
    <xf numFmtId="0" fontId="49" fillId="0" borderId="6" xfId="0" applyFont="1" applyFill="1" applyBorder="1" applyAlignment="1" applyProtection="1">
      <alignment horizontal="center" vertical="center" wrapText="1"/>
    </xf>
    <xf numFmtId="3" fontId="14" fillId="0" borderId="13" xfId="0" applyNumberFormat="1" applyFont="1" applyBorder="1" applyAlignment="1">
      <alignment horizontal="center" vertical="center" wrapText="1"/>
    </xf>
    <xf numFmtId="0" fontId="14" fillId="0" borderId="3" xfId="0" applyFont="1" applyBorder="1" applyAlignment="1">
      <alignment horizontal="center" wrapText="1"/>
    </xf>
    <xf numFmtId="3" fontId="50" fillId="0" borderId="10" xfId="0" applyNumberFormat="1" applyFont="1" applyFill="1" applyBorder="1" applyAlignment="1" applyProtection="1">
      <alignment horizontal="center" vertical="center" wrapText="1"/>
    </xf>
    <xf numFmtId="3" fontId="49" fillId="0" borderId="1" xfId="0" applyNumberFormat="1" applyFont="1" applyFill="1" applyBorder="1" applyAlignment="1" applyProtection="1">
      <alignment horizontal="center" vertical="center" wrapText="1"/>
    </xf>
    <xf numFmtId="3" fontId="48" fillId="0" borderId="1" xfId="0" applyNumberFormat="1" applyFont="1" applyBorder="1" applyAlignment="1">
      <alignment horizontal="center"/>
    </xf>
    <xf numFmtId="0" fontId="50" fillId="6" borderId="19" xfId="0" applyFont="1" applyFill="1" applyBorder="1" applyAlignment="1" applyProtection="1">
      <alignment horizontal="left" vertical="center"/>
    </xf>
    <xf numFmtId="0" fontId="48" fillId="6" borderId="7" xfId="0" applyFont="1" applyFill="1" applyBorder="1" applyAlignment="1" applyProtection="1">
      <alignment horizontal="center" vertical="center"/>
    </xf>
    <xf numFmtId="3" fontId="32" fillId="0" borderId="11" xfId="0" applyNumberFormat="1" applyFont="1" applyBorder="1" applyAlignment="1">
      <alignment horizontal="center" vertical="center"/>
    </xf>
    <xf numFmtId="3" fontId="32" fillId="0" borderId="5" xfId="0" applyNumberFormat="1" applyFont="1" applyBorder="1" applyAlignment="1">
      <alignment horizontal="center" vertical="center"/>
    </xf>
    <xf numFmtId="0" fontId="50" fillId="6" borderId="20" xfId="0" applyFont="1" applyFill="1" applyBorder="1" applyAlignment="1" applyProtection="1">
      <alignment horizontal="left" vertical="center"/>
    </xf>
    <xf numFmtId="0" fontId="49" fillId="6" borderId="20" xfId="0" applyFont="1" applyFill="1" applyBorder="1" applyAlignment="1" applyProtection="1">
      <alignment horizontal="center" vertical="center"/>
    </xf>
    <xf numFmtId="3" fontId="32" fillId="0" borderId="7" xfId="0" applyNumberFormat="1" applyFont="1" applyBorder="1" applyAlignment="1">
      <alignment horizontal="center" vertical="center"/>
    </xf>
    <xf numFmtId="3" fontId="32" fillId="0" borderId="6" xfId="0" applyNumberFormat="1" applyFont="1" applyBorder="1" applyAlignment="1">
      <alignment horizontal="center" vertical="center"/>
    </xf>
    <xf numFmtId="3" fontId="32" fillId="0" borderId="0" xfId="0" applyNumberFormat="1" applyFont="1" applyBorder="1" applyAlignment="1">
      <alignment horizontal="center" vertical="center"/>
    </xf>
    <xf numFmtId="0" fontId="50" fillId="6" borderId="20" xfId="0" applyFont="1" applyFill="1" applyBorder="1" applyAlignment="1" applyProtection="1">
      <alignment horizontal="left" vertical="center" wrapText="1"/>
    </xf>
    <xf numFmtId="0" fontId="50" fillId="6" borderId="22" xfId="0" applyFont="1" applyFill="1" applyBorder="1" applyAlignment="1" applyProtection="1">
      <alignment horizontal="left" vertical="center" wrapText="1"/>
    </xf>
    <xf numFmtId="3" fontId="32" fillId="0" borderId="13" xfId="0" applyNumberFormat="1" applyFont="1" applyBorder="1" applyAlignment="1">
      <alignment horizontal="center" vertical="center"/>
    </xf>
    <xf numFmtId="3" fontId="50" fillId="6" borderId="21" xfId="0" applyNumberFormat="1" applyFont="1" applyFill="1" applyBorder="1" applyAlignment="1" applyProtection="1">
      <alignment horizontal="left" vertical="center" wrapText="1"/>
    </xf>
    <xf numFmtId="3" fontId="50" fillId="6" borderId="20" xfId="0" applyNumberFormat="1" applyFont="1" applyFill="1" applyBorder="1" applyAlignment="1" applyProtection="1">
      <alignment horizontal="left" vertical="center" wrapText="1"/>
    </xf>
    <xf numFmtId="3" fontId="32" fillId="0" borderId="10" xfId="0" applyNumberFormat="1" applyFont="1" applyBorder="1" applyAlignment="1">
      <alignment horizontal="center" vertical="center"/>
    </xf>
    <xf numFmtId="3" fontId="32" fillId="0" borderId="3" xfId="0" applyNumberFormat="1" applyFont="1" applyBorder="1" applyAlignment="1">
      <alignment horizontal="center" vertical="center"/>
    </xf>
    <xf numFmtId="0" fontId="14" fillId="0" borderId="0" xfId="0" applyFont="1" applyFill="1" applyBorder="1" applyAlignment="1">
      <alignment horizontal="center" vertical="center"/>
    </xf>
    <xf numFmtId="0" fontId="14" fillId="0" borderId="0" xfId="0" applyFont="1" applyFill="1" applyBorder="1" applyAlignment="1">
      <alignment vertical="center"/>
    </xf>
    <xf numFmtId="0" fontId="9" fillId="0" borderId="0" xfId="0" applyFont="1" applyFill="1" applyBorder="1" applyAlignment="1">
      <alignment vertical="center"/>
    </xf>
    <xf numFmtId="0" fontId="9" fillId="0" borderId="1" xfId="0" applyFont="1" applyFill="1" applyBorder="1" applyAlignment="1">
      <alignment vertical="center"/>
    </xf>
    <xf numFmtId="0" fontId="10" fillId="0" borderId="1" xfId="0" applyFont="1" applyFill="1" applyBorder="1" applyAlignment="1">
      <alignment horizontal="center" vertical="center" wrapText="1"/>
    </xf>
    <xf numFmtId="1" fontId="14" fillId="0" borderId="1" xfId="0" applyNumberFormat="1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left" vertical="center"/>
    </xf>
    <xf numFmtId="3" fontId="9" fillId="0" borderId="1" xfId="0" applyNumberFormat="1" applyFont="1" applyFill="1" applyBorder="1" applyAlignment="1">
      <alignment horizontal="center" vertical="center"/>
    </xf>
    <xf numFmtId="166" fontId="9" fillId="0" borderId="1" xfId="0" applyNumberFormat="1" applyFont="1" applyFill="1" applyBorder="1" applyAlignment="1">
      <alignment horizontal="center" vertical="center"/>
    </xf>
    <xf numFmtId="0" fontId="27" fillId="0" borderId="0" xfId="0" applyFont="1"/>
    <xf numFmtId="0" fontId="19" fillId="0" borderId="1" xfId="0" applyFont="1" applyBorder="1" applyAlignment="1">
      <alignment vertical="center"/>
    </xf>
    <xf numFmtId="2" fontId="39" fillId="0" borderId="0" xfId="0" applyNumberFormat="1" applyFont="1" applyAlignment="1">
      <alignment vertical="center"/>
    </xf>
    <xf numFmtId="3" fontId="20" fillId="0" borderId="6" xfId="0" applyNumberFormat="1" applyFont="1" applyBorder="1" applyAlignment="1">
      <alignment horizontal="center" vertical="center"/>
    </xf>
    <xf numFmtId="3" fontId="20" fillId="0" borderId="3" xfId="0" applyNumberFormat="1" applyFont="1" applyBorder="1" applyAlignment="1">
      <alignment horizontal="center" vertical="center"/>
    </xf>
    <xf numFmtId="2" fontId="39" fillId="0" borderId="0" xfId="0" applyNumberFormat="1" applyFont="1"/>
    <xf numFmtId="3" fontId="6" fillId="0" borderId="6" xfId="0" applyNumberFormat="1" applyFont="1" applyBorder="1" applyAlignment="1">
      <alignment horizontal="center" vertical="center"/>
    </xf>
    <xf numFmtId="0" fontId="6" fillId="0" borderId="6" xfId="0" applyFont="1" applyBorder="1" applyAlignment="1">
      <alignment horizontal="left" vertical="center"/>
    </xf>
    <xf numFmtId="3" fontId="6" fillId="0" borderId="3" xfId="0" applyNumberFormat="1" applyFont="1" applyBorder="1" applyAlignment="1">
      <alignment horizontal="center" vertical="center"/>
    </xf>
    <xf numFmtId="0" fontId="6" fillId="0" borderId="11" xfId="0" applyFont="1" applyBorder="1" applyAlignment="1">
      <alignment horizontal="left" vertical="center"/>
    </xf>
    <xf numFmtId="3" fontId="6" fillId="0" borderId="5" xfId="0" applyNumberFormat="1" applyFont="1" applyBorder="1" applyAlignment="1">
      <alignment horizontal="center" vertical="center"/>
    </xf>
    <xf numFmtId="0" fontId="6" fillId="0" borderId="7" xfId="0" applyFont="1" applyBorder="1" applyAlignment="1">
      <alignment horizontal="left" vertical="center"/>
    </xf>
    <xf numFmtId="0" fontId="6" fillId="0" borderId="10" xfId="0" applyFont="1" applyBorder="1" applyAlignment="1">
      <alignment horizontal="left" vertical="center"/>
    </xf>
    <xf numFmtId="0" fontId="26" fillId="0" borderId="0" xfId="0" applyFont="1" applyAlignment="1">
      <alignment horizontal="center"/>
    </xf>
    <xf numFmtId="0" fontId="16" fillId="0" borderId="0" xfId="0" applyFont="1"/>
    <xf numFmtId="0" fontId="39" fillId="0" borderId="5" xfId="0" applyFont="1" applyBorder="1" applyAlignment="1">
      <alignment horizontal="center"/>
    </xf>
    <xf numFmtId="0" fontId="39" fillId="0" borderId="5" xfId="0" applyFont="1" applyBorder="1" applyAlignment="1">
      <alignment horizontal="center" wrapText="1"/>
    </xf>
    <xf numFmtId="0" fontId="0" fillId="0" borderId="5" xfId="0" applyBorder="1" applyAlignment="1">
      <alignment horizontal="center" wrapText="1"/>
    </xf>
    <xf numFmtId="0" fontId="39" fillId="0" borderId="3" xfId="0" applyFont="1" applyBorder="1" applyAlignment="1">
      <alignment horizontal="center" vertical="center"/>
    </xf>
    <xf numFmtId="0" fontId="45" fillId="0" borderId="23" xfId="0" quotePrefix="1" applyFont="1" applyFill="1" applyBorder="1" applyAlignment="1" applyProtection="1">
      <alignment horizontal="center" vertical="center"/>
    </xf>
    <xf numFmtId="0" fontId="45" fillId="0" borderId="24" xfId="0" applyFont="1" applyFill="1" applyBorder="1" applyAlignment="1" applyProtection="1">
      <alignment horizontal="center" vertical="center"/>
    </xf>
    <xf numFmtId="0" fontId="45" fillId="0" borderId="25" xfId="0" quotePrefix="1" applyFont="1" applyFill="1" applyBorder="1" applyAlignment="1" applyProtection="1">
      <alignment horizontal="center" vertical="center"/>
    </xf>
    <xf numFmtId="0" fontId="45" fillId="0" borderId="26" xfId="0" applyFont="1" applyFill="1" applyBorder="1" applyAlignment="1" applyProtection="1">
      <alignment horizontal="center" vertical="center"/>
    </xf>
    <xf numFmtId="0" fontId="39" fillId="0" borderId="3" xfId="0" applyFont="1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39" fillId="0" borderId="6" xfId="0" applyFont="1" applyBorder="1" applyAlignment="1">
      <alignment horizontal="center" vertical="center"/>
    </xf>
    <xf numFmtId="3" fontId="39" fillId="0" borderId="5" xfId="0" applyNumberFormat="1" applyFont="1" applyBorder="1" applyAlignment="1">
      <alignment horizontal="center" vertical="center"/>
    </xf>
    <xf numFmtId="3" fontId="39" fillId="0" borderId="6" xfId="0" applyNumberFormat="1" applyFont="1" applyBorder="1" applyAlignment="1">
      <alignment horizontal="center" vertical="center"/>
    </xf>
    <xf numFmtId="166" fontId="39" fillId="0" borderId="6" xfId="0" applyNumberFormat="1" applyFont="1" applyBorder="1" applyAlignment="1">
      <alignment horizontal="center" vertical="center"/>
    </xf>
    <xf numFmtId="166" fontId="39" fillId="0" borderId="3" xfId="0" applyNumberFormat="1" applyFont="1" applyBorder="1" applyAlignment="1">
      <alignment horizontal="center" vertical="center"/>
    </xf>
    <xf numFmtId="0" fontId="10" fillId="0" borderId="3" xfId="0" applyFont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 wrapText="1"/>
    </xf>
    <xf numFmtId="0" fontId="10" fillId="0" borderId="14" xfId="0" applyFont="1" applyBorder="1" applyAlignment="1">
      <alignment horizontal="center" vertical="center" wrapText="1"/>
    </xf>
    <xf numFmtId="0" fontId="10" fillId="0" borderId="3" xfId="0" applyFont="1" applyBorder="1" applyAlignment="1">
      <alignment horizontal="center" vertical="center"/>
    </xf>
    <xf numFmtId="0" fontId="10" fillId="0" borderId="10" xfId="0" applyFont="1" applyBorder="1" applyAlignment="1">
      <alignment horizontal="center" vertical="center" wrapText="1"/>
    </xf>
    <xf numFmtId="0" fontId="10" fillId="0" borderId="14" xfId="0" applyFont="1" applyBorder="1" applyAlignment="1">
      <alignment horizontal="center" vertical="center"/>
    </xf>
    <xf numFmtId="0" fontId="9" fillId="0" borderId="14" xfId="0" applyFont="1" applyBorder="1" applyAlignment="1">
      <alignment horizontal="center" vertical="top"/>
    </xf>
    <xf numFmtId="0" fontId="9" fillId="0" borderId="6" xfId="0" applyFont="1" applyBorder="1" applyAlignment="1">
      <alignment horizontal="center" vertical="center" wrapText="1"/>
    </xf>
    <xf numFmtId="0" fontId="9" fillId="0" borderId="0" xfId="0" applyFont="1" applyBorder="1" applyAlignment="1">
      <alignment horizontal="center" vertical="center" wrapText="1"/>
    </xf>
    <xf numFmtId="0" fontId="9" fillId="0" borderId="6" xfId="0" applyFont="1" applyBorder="1" applyAlignment="1">
      <alignment horizontal="center" vertical="center"/>
    </xf>
    <xf numFmtId="0" fontId="9" fillId="0" borderId="13" xfId="0" applyFont="1" applyBorder="1" applyAlignment="1">
      <alignment horizontal="center" vertical="center"/>
    </xf>
    <xf numFmtId="3" fontId="0" fillId="0" borderId="13" xfId="0" applyNumberFormat="1" applyBorder="1" applyAlignment="1">
      <alignment horizontal="center" vertical="center"/>
    </xf>
    <xf numFmtId="0" fontId="53" fillId="0" borderId="20" xfId="7" applyNumberFormat="1" applyFont="1" applyFill="1" applyBorder="1" applyAlignment="1" applyProtection="1">
      <alignment vertical="center" wrapText="1"/>
      <protection hidden="1"/>
    </xf>
    <xf numFmtId="0" fontId="53" fillId="0" borderId="6" xfId="7" applyNumberFormat="1" applyFont="1" applyFill="1" applyBorder="1" applyAlignment="1" applyProtection="1">
      <alignment horizontal="center" vertical="center" wrapText="1"/>
      <protection hidden="1"/>
    </xf>
    <xf numFmtId="0" fontId="47" fillId="0" borderId="7" xfId="0" applyFont="1" applyBorder="1" applyAlignment="1">
      <alignment vertical="center"/>
    </xf>
    <xf numFmtId="3" fontId="0" fillId="0" borderId="14" xfId="0" applyNumberFormat="1" applyBorder="1" applyAlignment="1">
      <alignment horizontal="center" vertical="center"/>
    </xf>
    <xf numFmtId="3" fontId="0" fillId="0" borderId="10" xfId="0" applyNumberFormat="1" applyBorder="1" applyAlignment="1">
      <alignment horizontal="center" vertical="center"/>
    </xf>
    <xf numFmtId="0" fontId="0" fillId="0" borderId="1" xfId="0" applyBorder="1" applyAlignment="1">
      <alignment horizontal="centerContinuous" vertical="center" wrapText="1"/>
    </xf>
    <xf numFmtId="0" fontId="9" fillId="0" borderId="11" xfId="0" applyFont="1" applyBorder="1" applyAlignment="1">
      <alignment vertical="center"/>
    </xf>
    <xf numFmtId="0" fontId="9" fillId="0" borderId="5" xfId="0" applyFont="1" applyBorder="1" applyAlignment="1">
      <alignment vertical="center"/>
    </xf>
    <xf numFmtId="3" fontId="9" fillId="0" borderId="13" xfId="0" applyNumberFormat="1" applyFont="1" applyBorder="1" applyAlignment="1">
      <alignment horizontal="center"/>
    </xf>
    <xf numFmtId="3" fontId="9" fillId="0" borderId="6" xfId="0" applyNumberFormat="1" applyFont="1" applyBorder="1" applyAlignment="1">
      <alignment horizontal="center"/>
    </xf>
    <xf numFmtId="0" fontId="9" fillId="0" borderId="10" xfId="0" applyFont="1" applyBorder="1" applyAlignment="1">
      <alignment vertical="center"/>
    </xf>
    <xf numFmtId="3" fontId="9" fillId="0" borderId="14" xfId="0" applyNumberFormat="1" applyFont="1" applyBorder="1" applyAlignment="1">
      <alignment horizontal="centerContinuous"/>
    </xf>
    <xf numFmtId="0" fontId="0" fillId="0" borderId="13" xfId="0" applyBorder="1" applyAlignment="1">
      <alignment horizontal="center"/>
    </xf>
    <xf numFmtId="0" fontId="0" fillId="0" borderId="6" xfId="0" applyBorder="1" applyAlignment="1">
      <alignment horizontal="center"/>
    </xf>
    <xf numFmtId="41" fontId="0" fillId="0" borderId="13" xfId="0" applyNumberFormat="1" applyBorder="1" applyAlignment="1">
      <alignment horizontal="center" vertical="center"/>
    </xf>
    <xf numFmtId="41" fontId="0" fillId="0" borderId="0" xfId="0" applyNumberFormat="1"/>
    <xf numFmtId="3" fontId="28" fillId="0" borderId="14" xfId="0" applyNumberFormat="1" applyFont="1" applyBorder="1" applyAlignment="1">
      <alignment horizontal="centerContinuous"/>
    </xf>
    <xf numFmtId="2" fontId="0" fillId="0" borderId="13" xfId="0" applyNumberFormat="1" applyBorder="1" applyAlignment="1">
      <alignment horizontal="centerContinuous" vertical="center"/>
    </xf>
    <xf numFmtId="2" fontId="1" fillId="0" borderId="14" xfId="0" applyNumberFormat="1" applyFont="1" applyBorder="1" applyAlignment="1">
      <alignment horizontal="centerContinuous" vertical="center"/>
    </xf>
    <xf numFmtId="0" fontId="9" fillId="0" borderId="3" xfId="0" applyFont="1" applyBorder="1" applyAlignment="1">
      <alignment vertical="top"/>
    </xf>
    <xf numFmtId="0" fontId="10" fillId="0" borderId="9" xfId="0" applyFont="1" applyBorder="1" applyAlignment="1">
      <alignment horizontal="centerContinuous" vertical="center"/>
    </xf>
    <xf numFmtId="0" fontId="10" fillId="0" borderId="1" xfId="0" applyFont="1" applyBorder="1" applyAlignment="1">
      <alignment horizontal="centerContinuous" vertical="center"/>
    </xf>
    <xf numFmtId="0" fontId="10" fillId="0" borderId="8" xfId="0" applyFont="1" applyBorder="1" applyAlignment="1">
      <alignment horizontal="centerContinuous" vertical="center"/>
    </xf>
    <xf numFmtId="0" fontId="10" fillId="0" borderId="1" xfId="0" applyFont="1" applyBorder="1" applyAlignment="1">
      <alignment horizontal="centerContinuous" vertical="center" wrapText="1"/>
    </xf>
    <xf numFmtId="0" fontId="10" fillId="0" borderId="4" xfId="0" applyFont="1" applyBorder="1" applyAlignment="1">
      <alignment horizontal="centerContinuous" vertical="center" wrapText="1"/>
    </xf>
    <xf numFmtId="3" fontId="28" fillId="0" borderId="12" xfId="0" applyNumberFormat="1" applyFont="1" applyBorder="1" applyAlignment="1">
      <alignment horizontal="center" vertical="center"/>
    </xf>
    <xf numFmtId="3" fontId="28" fillId="0" borderId="5" xfId="0" applyNumberFormat="1" applyFont="1" applyBorder="1" applyAlignment="1">
      <alignment horizontal="center" vertical="center"/>
    </xf>
    <xf numFmtId="3" fontId="28" fillId="0" borderId="11" xfId="0" applyNumberFormat="1" applyFont="1" applyBorder="1" applyAlignment="1">
      <alignment horizontal="center" vertical="center"/>
    </xf>
    <xf numFmtId="3" fontId="28" fillId="0" borderId="2" xfId="0" applyNumberFormat="1" applyFont="1" applyBorder="1" applyAlignment="1">
      <alignment horizontal="centerContinuous" vertical="center"/>
    </xf>
    <xf numFmtId="3" fontId="28" fillId="0" borderId="7" xfId="0" applyNumberFormat="1" applyFont="1" applyBorder="1" applyAlignment="1">
      <alignment horizontal="center" vertical="center"/>
    </xf>
    <xf numFmtId="3" fontId="28" fillId="0" borderId="10" xfId="0" applyNumberFormat="1" applyFont="1" applyBorder="1" applyAlignment="1">
      <alignment horizontal="center" vertical="center"/>
    </xf>
    <xf numFmtId="3" fontId="28" fillId="0" borderId="2" xfId="0" applyNumberFormat="1" applyFont="1" applyBorder="1" applyAlignment="1">
      <alignment horizontal="center" vertical="center"/>
    </xf>
    <xf numFmtId="0" fontId="54" fillId="0" borderId="0" xfId="0" applyFont="1"/>
    <xf numFmtId="0" fontId="28" fillId="0" borderId="1" xfId="0" applyFont="1" applyBorder="1" applyAlignment="1">
      <alignment horizontal="centerContinuous" vertical="center"/>
    </xf>
    <xf numFmtId="3" fontId="28" fillId="0" borderId="5" xfId="0" applyNumberFormat="1" applyFont="1" applyBorder="1" applyAlignment="1">
      <alignment horizontal="centerContinuous" vertical="center"/>
    </xf>
    <xf numFmtId="4" fontId="28" fillId="0" borderId="5" xfId="0" applyNumberFormat="1" applyFont="1" applyBorder="1" applyAlignment="1">
      <alignment horizontal="centerContinuous" vertical="center"/>
    </xf>
    <xf numFmtId="3" fontId="28" fillId="0" borderId="6" xfId="0" applyNumberFormat="1" applyFont="1" applyBorder="1" applyAlignment="1">
      <alignment horizontal="centerContinuous" vertical="center"/>
    </xf>
    <xf numFmtId="4" fontId="28" fillId="0" borderId="6" xfId="0" applyNumberFormat="1" applyFont="1" applyBorder="1" applyAlignment="1">
      <alignment horizontal="centerContinuous" vertical="center"/>
    </xf>
    <xf numFmtId="4" fontId="28" fillId="0" borderId="6" xfId="0" applyNumberFormat="1" applyFont="1" applyBorder="1" applyAlignment="1">
      <alignment horizontal="center" vertical="center"/>
    </xf>
    <xf numFmtId="3" fontId="28" fillId="0" borderId="3" xfId="0" applyNumberFormat="1" applyFont="1" applyBorder="1" applyAlignment="1">
      <alignment horizontal="centerContinuous" vertical="center"/>
    </xf>
    <xf numFmtId="3" fontId="28" fillId="0" borderId="15" xfId="0" applyNumberFormat="1" applyFont="1" applyBorder="1" applyAlignment="1">
      <alignment horizontal="centerContinuous" vertical="center"/>
    </xf>
    <xf numFmtId="4" fontId="28" fillId="0" borderId="3" xfId="0" applyNumberFormat="1" applyFont="1" applyBorder="1" applyAlignment="1">
      <alignment horizontal="centerContinuous" vertical="center"/>
    </xf>
    <xf numFmtId="4" fontId="6" fillId="0" borderId="0" xfId="0" applyNumberFormat="1" applyFont="1" applyBorder="1" applyAlignment="1">
      <alignment horizontal="centerContinuous" vertical="center"/>
    </xf>
    <xf numFmtId="3" fontId="6" fillId="0" borderId="0" xfId="0" applyNumberFormat="1" applyFont="1" applyBorder="1" applyAlignment="1">
      <alignment horizontal="left" vertical="center"/>
    </xf>
    <xf numFmtId="4" fontId="6" fillId="0" borderId="0" xfId="0" applyNumberFormat="1" applyFont="1" applyBorder="1" applyAlignment="1">
      <alignment horizontal="left" vertical="center"/>
    </xf>
    <xf numFmtId="0" fontId="5" fillId="0" borderId="0" xfId="0" applyFont="1" applyAlignment="1">
      <alignment horizontal="center"/>
    </xf>
    <xf numFmtId="0" fontId="0" fillId="0" borderId="0" xfId="0" applyAlignment="1">
      <alignment horizontal="center" vertical="center"/>
    </xf>
    <xf numFmtId="0" fontId="9" fillId="0" borderId="9" xfId="0" applyFont="1" applyBorder="1" applyAlignment="1">
      <alignment horizontal="centerContinuous" vertical="center" wrapText="1"/>
    </xf>
    <xf numFmtId="0" fontId="9" fillId="0" borderId="1" xfId="0" applyFont="1" applyBorder="1" applyAlignment="1">
      <alignment horizontal="centerContinuous" vertical="center"/>
    </xf>
    <xf numFmtId="0" fontId="9" fillId="0" borderId="1" xfId="0" applyFont="1" applyBorder="1" applyAlignment="1">
      <alignment vertical="center"/>
    </xf>
    <xf numFmtId="3" fontId="55" fillId="0" borderId="1" xfId="0" applyNumberFormat="1" applyFont="1" applyBorder="1" applyAlignment="1">
      <alignment horizontal="center" vertical="center"/>
    </xf>
    <xf numFmtId="3" fontId="55" fillId="0" borderId="1" xfId="0" applyNumberFormat="1" applyFont="1" applyBorder="1" applyAlignment="1">
      <alignment horizontal="centerContinuous" vertical="center"/>
    </xf>
    <xf numFmtId="0" fontId="9" fillId="0" borderId="9" xfId="0" applyFont="1" applyBorder="1" applyAlignment="1">
      <alignment vertical="center"/>
    </xf>
    <xf numFmtId="0" fontId="9" fillId="0" borderId="4" xfId="0" applyFont="1" applyBorder="1" applyAlignment="1">
      <alignment vertical="center"/>
    </xf>
    <xf numFmtId="3" fontId="55" fillId="0" borderId="4" xfId="0" applyNumberFormat="1" applyFont="1" applyBorder="1" applyAlignment="1">
      <alignment horizontal="center" vertical="center"/>
    </xf>
    <xf numFmtId="0" fontId="9" fillId="0" borderId="10" xfId="0" applyFont="1" applyBorder="1"/>
    <xf numFmtId="0" fontId="0" fillId="0" borderId="10" xfId="0" applyBorder="1" applyAlignment="1">
      <alignment horizontal="centerContinuous" vertical="center"/>
    </xf>
    <xf numFmtId="3" fontId="9" fillId="0" borderId="13" xfId="0" applyNumberFormat="1" applyFont="1" applyBorder="1" applyAlignment="1">
      <alignment horizontal="centerContinuous" vertical="center"/>
    </xf>
    <xf numFmtId="3" fontId="9" fillId="0" borderId="0" xfId="0" applyNumberFormat="1" applyFont="1" applyBorder="1" applyAlignment="1">
      <alignment horizontal="centerContinuous" vertical="center"/>
    </xf>
    <xf numFmtId="0" fontId="9" fillId="0" borderId="10" xfId="0" applyFont="1" applyBorder="1" applyAlignment="1">
      <alignment horizontal="center" vertical="center"/>
    </xf>
    <xf numFmtId="3" fontId="9" fillId="0" borderId="10" xfId="0" applyNumberFormat="1" applyFont="1" applyBorder="1" applyAlignment="1">
      <alignment horizontal="centerContinuous" vertical="center"/>
    </xf>
    <xf numFmtId="3" fontId="9" fillId="0" borderId="14" xfId="0" applyNumberFormat="1" applyFont="1" applyBorder="1" applyAlignment="1">
      <alignment horizontal="centerContinuous" vertical="center"/>
    </xf>
    <xf numFmtId="0" fontId="9" fillId="0" borderId="0" xfId="0" applyFont="1" applyBorder="1" applyAlignment="1">
      <alignment horizontal="centerContinuous"/>
    </xf>
    <xf numFmtId="3" fontId="9" fillId="0" borderId="0" xfId="0" applyNumberFormat="1" applyFont="1" applyBorder="1"/>
    <xf numFmtId="168" fontId="9" fillId="0" borderId="0" xfId="0" applyNumberFormat="1" applyFont="1" applyAlignment="1">
      <alignment vertical="center"/>
    </xf>
    <xf numFmtId="3" fontId="6" fillId="0" borderId="7" xfId="0" applyNumberFormat="1" applyFont="1" applyBorder="1" applyAlignment="1">
      <alignment horizontal="centerContinuous" vertical="center"/>
    </xf>
    <xf numFmtId="3" fontId="6" fillId="0" borderId="13" xfId="0" applyNumberFormat="1" applyFont="1" applyBorder="1" applyAlignment="1">
      <alignment horizontal="centerContinuous" vertical="center"/>
    </xf>
    <xf numFmtId="3" fontId="6" fillId="0" borderId="10" xfId="0" applyNumberFormat="1" applyFont="1" applyBorder="1" applyAlignment="1">
      <alignment horizontal="centerContinuous" vertical="center"/>
    </xf>
    <xf numFmtId="3" fontId="6" fillId="0" borderId="12" xfId="0" applyNumberFormat="1" applyFont="1" applyBorder="1" applyAlignment="1">
      <alignment horizontal="centerContinuous" vertical="center"/>
    </xf>
    <xf numFmtId="3" fontId="6" fillId="0" borderId="2" xfId="0" applyNumberFormat="1" applyFont="1" applyBorder="1" applyAlignment="1">
      <alignment horizontal="centerContinuous" vertical="center"/>
    </xf>
    <xf numFmtId="3" fontId="6" fillId="0" borderId="11" xfId="0" applyNumberFormat="1" applyFont="1" applyBorder="1" applyAlignment="1">
      <alignment horizontal="centerContinuous" vertical="center"/>
    </xf>
    <xf numFmtId="3" fontId="6" fillId="0" borderId="0" xfId="0" applyNumberFormat="1" applyFont="1" applyFill="1" applyBorder="1" applyAlignment="1">
      <alignment horizontal="center" vertical="center"/>
    </xf>
    <xf numFmtId="0" fontId="45" fillId="0" borderId="17" xfId="9" applyNumberFormat="1" applyFont="1" applyFill="1" applyBorder="1" applyAlignment="1" applyProtection="1">
      <alignment horizontal="left" vertical="center"/>
    </xf>
    <xf numFmtId="0" fontId="9" fillId="0" borderId="15" xfId="0" applyFont="1" applyBorder="1" applyAlignment="1">
      <alignment horizontal="center" vertical="center"/>
    </xf>
    <xf numFmtId="0" fontId="9" fillId="0" borderId="14" xfId="0" applyFont="1" applyBorder="1" applyAlignment="1">
      <alignment horizontal="center" vertical="center"/>
    </xf>
    <xf numFmtId="0" fontId="9" fillId="0" borderId="15" xfId="0" applyFont="1" applyBorder="1" applyAlignment="1">
      <alignment vertical="center"/>
    </xf>
    <xf numFmtId="3" fontId="6" fillId="0" borderId="9" xfId="0" applyNumberFormat="1" applyFont="1" applyBorder="1" applyAlignment="1">
      <alignment horizontal="center" vertical="center"/>
    </xf>
    <xf numFmtId="3" fontId="6" fillId="0" borderId="4" xfId="0" applyNumberFormat="1" applyFont="1" applyBorder="1" applyAlignment="1">
      <alignment horizontal="center" vertical="center"/>
    </xf>
    <xf numFmtId="3" fontId="6" fillId="0" borderId="8" xfId="0" applyNumberFormat="1" applyFont="1" applyBorder="1" applyAlignment="1">
      <alignment horizontal="center" vertical="center"/>
    </xf>
    <xf numFmtId="3" fontId="6" fillId="0" borderId="13" xfId="0" applyNumberFormat="1" applyFont="1" applyBorder="1" applyAlignment="1">
      <alignment horizontal="center"/>
    </xf>
    <xf numFmtId="3" fontId="6" fillId="0" borderId="0" xfId="0" applyNumberFormat="1" applyFont="1" applyBorder="1" applyAlignment="1">
      <alignment horizontal="center"/>
    </xf>
    <xf numFmtId="3" fontId="6" fillId="0" borderId="4" xfId="0" applyNumberFormat="1" applyFont="1" applyBorder="1" applyAlignment="1">
      <alignment horizontal="centerContinuous" vertical="center"/>
    </xf>
    <xf numFmtId="3" fontId="6" fillId="0" borderId="9" xfId="0" applyNumberFormat="1" applyFont="1" applyBorder="1" applyAlignment="1">
      <alignment horizontal="centerContinuous" vertical="center"/>
    </xf>
    <xf numFmtId="0" fontId="10" fillId="0" borderId="5" xfId="0" applyFont="1" applyFill="1" applyBorder="1" applyAlignment="1">
      <alignment vertical="center"/>
    </xf>
    <xf numFmtId="3" fontId="6" fillId="0" borderId="4" xfId="0" applyNumberFormat="1" applyFont="1" applyFill="1" applyBorder="1" applyAlignment="1">
      <alignment horizontal="center" vertical="center"/>
    </xf>
    <xf numFmtId="0" fontId="0" fillId="0" borderId="8" xfId="0" applyBorder="1"/>
    <xf numFmtId="0" fontId="10" fillId="0" borderId="3" xfId="0" applyFont="1" applyFill="1" applyBorder="1" applyAlignment="1">
      <alignment vertical="center"/>
    </xf>
    <xf numFmtId="3" fontId="6" fillId="0" borderId="14" xfId="0" applyNumberFormat="1" applyFont="1" applyFill="1" applyBorder="1" applyAlignment="1">
      <alignment horizontal="center" vertical="center"/>
    </xf>
    <xf numFmtId="0" fontId="0" fillId="0" borderId="15" xfId="0" applyBorder="1"/>
    <xf numFmtId="0" fontId="10" fillId="0" borderId="10" xfId="0" applyFont="1" applyBorder="1" applyAlignment="1">
      <alignment horizontal="centerContinuous" vertical="center"/>
    </xf>
    <xf numFmtId="0" fontId="10" fillId="0" borderId="14" xfId="0" applyFont="1" applyBorder="1" applyAlignment="1">
      <alignment horizontal="centerContinuous" vertical="center"/>
    </xf>
    <xf numFmtId="3" fontId="9" fillId="0" borderId="13" xfId="0" applyNumberFormat="1" applyFont="1" applyBorder="1" applyAlignment="1">
      <alignment vertical="center"/>
    </xf>
    <xf numFmtId="3" fontId="9" fillId="0" borderId="15" xfId="0" applyNumberFormat="1" applyFont="1" applyBorder="1" applyAlignment="1">
      <alignment horizontal="centerContinuous" vertical="center"/>
    </xf>
    <xf numFmtId="0" fontId="56" fillId="0" borderId="0" xfId="0" applyFont="1" applyAlignment="1">
      <alignment horizontal="centerContinuous"/>
    </xf>
    <xf numFmtId="0" fontId="58" fillId="0" borderId="0" xfId="3" applyNumberFormat="1" applyFont="1" applyAlignment="1">
      <alignment horizontal="centerContinuous"/>
    </xf>
    <xf numFmtId="0" fontId="28" fillId="0" borderId="0" xfId="3" applyNumberFormat="1" applyFont="1" applyAlignment="1">
      <alignment horizontal="centerContinuous"/>
    </xf>
    <xf numFmtId="0" fontId="59" fillId="0" borderId="0" xfId="3" applyNumberFormat="1" applyFont="1" applyAlignment="1">
      <alignment horizontal="centerContinuous"/>
    </xf>
    <xf numFmtId="171" fontId="28" fillId="0" borderId="0" xfId="3" applyFont="1"/>
    <xf numFmtId="171" fontId="57" fillId="0" borderId="0" xfId="3"/>
    <xf numFmtId="0" fontId="59" fillId="0" borderId="0" xfId="3" applyNumberFormat="1" applyFont="1"/>
    <xf numFmtId="0" fontId="28" fillId="0" borderId="5" xfId="3" applyNumberFormat="1" applyFont="1" applyBorder="1" applyAlignment="1">
      <alignment vertical="center"/>
    </xf>
    <xf numFmtId="0" fontId="6" fillId="0" borderId="5" xfId="3" applyNumberFormat="1" applyFont="1" applyBorder="1" applyAlignment="1">
      <alignment vertical="center"/>
    </xf>
    <xf numFmtId="0" fontId="6" fillId="0" borderId="8" xfId="3" applyNumberFormat="1" applyFont="1" applyBorder="1" applyAlignment="1">
      <alignment vertical="center"/>
    </xf>
    <xf numFmtId="0" fontId="6" fillId="0" borderId="4" xfId="3" applyNumberFormat="1" applyFont="1" applyBorder="1" applyAlignment="1">
      <alignment vertical="center"/>
    </xf>
    <xf numFmtId="0" fontId="6" fillId="0" borderId="11" xfId="3" applyNumberFormat="1" applyFont="1" applyBorder="1" applyAlignment="1" applyProtection="1">
      <alignment horizontal="centerContinuous"/>
    </xf>
    <xf numFmtId="0" fontId="6" fillId="0" borderId="2" xfId="3" applyNumberFormat="1" applyFont="1" applyBorder="1" applyAlignment="1">
      <alignment horizontal="centerContinuous"/>
    </xf>
    <xf numFmtId="0" fontId="9" fillId="0" borderId="12" xfId="3" applyNumberFormat="1" applyFont="1" applyBorder="1" applyAlignment="1" applyProtection="1">
      <alignment horizontal="left"/>
    </xf>
    <xf numFmtId="0" fontId="6" fillId="0" borderId="12" xfId="3" applyNumberFormat="1" applyFont="1" applyBorder="1" applyAlignment="1"/>
    <xf numFmtId="0" fontId="6" fillId="0" borderId="12" xfId="3" applyNumberFormat="1" applyFont="1" applyBorder="1" applyAlignment="1" applyProtection="1">
      <alignment horizontal="centerContinuous"/>
    </xf>
    <xf numFmtId="171" fontId="57" fillId="0" borderId="0" xfId="3" applyAlignment="1">
      <alignment vertical="center"/>
    </xf>
    <xf numFmtId="171" fontId="28" fillId="0" borderId="0" xfId="3" applyFont="1" applyAlignment="1">
      <alignment vertical="center"/>
    </xf>
    <xf numFmtId="0" fontId="28" fillId="0" borderId="6" xfId="3" applyNumberFormat="1" applyFont="1" applyBorder="1" applyAlignment="1" applyProtection="1">
      <alignment horizontal="center" vertical="center"/>
    </xf>
    <xf numFmtId="0" fontId="6" fillId="0" borderId="6" xfId="3" applyNumberFormat="1" applyFont="1" applyBorder="1" applyAlignment="1">
      <alignment vertical="center"/>
    </xf>
    <xf numFmtId="0" fontId="6" fillId="0" borderId="5" xfId="3" applyNumberFormat="1" applyFont="1" applyBorder="1" applyAlignment="1" applyProtection="1">
      <alignment horizontal="center" vertical="center"/>
    </xf>
    <xf numFmtId="0" fontId="60" fillId="0" borderId="9" xfId="3" applyNumberFormat="1" applyFont="1" applyBorder="1" applyAlignment="1">
      <alignment horizontal="centerContinuous" vertical="center"/>
    </xf>
    <xf numFmtId="0" fontId="60" fillId="0" borderId="8" xfId="3" applyNumberFormat="1" applyFont="1" applyBorder="1" applyAlignment="1">
      <alignment horizontal="centerContinuous" vertical="center"/>
    </xf>
    <xf numFmtId="0" fontId="60" fillId="0" borderId="4" xfId="3" applyNumberFormat="1" applyFont="1" applyBorder="1" applyAlignment="1">
      <alignment horizontal="centerContinuous" vertical="center"/>
    </xf>
    <xf numFmtId="0" fontId="60" fillId="0" borderId="0" xfId="3" applyNumberFormat="1" applyFont="1" applyBorder="1" applyAlignment="1">
      <alignment horizontal="centerContinuous" vertical="center"/>
    </xf>
    <xf numFmtId="0" fontId="60" fillId="0" borderId="7" xfId="3" applyNumberFormat="1" applyFont="1" applyBorder="1" applyAlignment="1">
      <alignment vertical="center"/>
    </xf>
    <xf numFmtId="0" fontId="60" fillId="0" borderId="13" xfId="3" applyNumberFormat="1" applyFont="1" applyBorder="1" applyAlignment="1">
      <alignment vertical="center"/>
    </xf>
    <xf numFmtId="0" fontId="60" fillId="0" borderId="0" xfId="3" applyNumberFormat="1" applyFont="1" applyBorder="1" applyAlignment="1">
      <alignment vertical="center"/>
    </xf>
    <xf numFmtId="0" fontId="60" fillId="0" borderId="10" xfId="3" applyNumberFormat="1" applyFont="1" applyBorder="1" applyAlignment="1">
      <alignment horizontal="centerContinuous" vertical="center"/>
    </xf>
    <xf numFmtId="0" fontId="60" fillId="0" borderId="15" xfId="3" applyNumberFormat="1" applyFont="1" applyBorder="1" applyAlignment="1">
      <alignment horizontal="centerContinuous" vertical="center"/>
    </xf>
    <xf numFmtId="0" fontId="60" fillId="0" borderId="14" xfId="3" applyNumberFormat="1" applyFont="1" applyBorder="1" applyAlignment="1">
      <alignment horizontal="centerContinuous" vertical="center"/>
    </xf>
    <xf numFmtId="0" fontId="9" fillId="0" borderId="3" xfId="3" applyNumberFormat="1" applyFont="1" applyBorder="1" applyAlignment="1" applyProtection="1">
      <alignment horizontal="center" vertical="center" wrapText="1"/>
    </xf>
    <xf numFmtId="0" fontId="10" fillId="0" borderId="1" xfId="3" applyNumberFormat="1" applyFont="1" applyBorder="1" applyAlignment="1" applyProtection="1">
      <alignment horizontal="center" vertical="center"/>
    </xf>
    <xf numFmtId="0" fontId="9" fillId="0" borderId="1" xfId="3" applyNumberFormat="1" applyFont="1" applyBorder="1" applyAlignment="1" applyProtection="1">
      <alignment horizontal="center" vertical="center"/>
    </xf>
    <xf numFmtId="0" fontId="9" fillId="0" borderId="1" xfId="3" applyNumberFormat="1" applyFont="1" applyBorder="1" applyAlignment="1" applyProtection="1">
      <alignment horizontal="center" vertical="center" wrapText="1"/>
    </xf>
    <xf numFmtId="0" fontId="10" fillId="0" borderId="15" xfId="3" applyNumberFormat="1" applyFont="1" applyBorder="1" applyAlignment="1" applyProtection="1">
      <alignment horizontal="center" vertical="center" wrapText="1"/>
    </xf>
    <xf numFmtId="0" fontId="9" fillId="0" borderId="9" xfId="3" applyNumberFormat="1" applyFont="1" applyBorder="1" applyAlignment="1" applyProtection="1">
      <alignment horizontal="center" vertical="center" wrapText="1"/>
    </xf>
    <xf numFmtId="0" fontId="9" fillId="0" borderId="8" xfId="3" applyNumberFormat="1" applyFont="1" applyBorder="1" applyAlignment="1" applyProtection="1">
      <alignment horizontal="center" vertical="center"/>
    </xf>
    <xf numFmtId="0" fontId="9" fillId="0" borderId="14" xfId="3" applyNumberFormat="1" applyFont="1" applyBorder="1" applyAlignment="1" applyProtection="1">
      <alignment horizontal="center" vertical="top" wrapText="1"/>
    </xf>
    <xf numFmtId="0" fontId="9" fillId="0" borderId="4" xfId="3" applyNumberFormat="1" applyFont="1" applyBorder="1" applyAlignment="1" applyProtection="1">
      <alignment horizontal="center" vertical="center" wrapText="1"/>
    </xf>
    <xf numFmtId="0" fontId="9" fillId="0" borderId="4" xfId="3" applyNumberFormat="1" applyFont="1" applyBorder="1" applyAlignment="1" applyProtection="1">
      <alignment horizontal="center" vertical="center"/>
    </xf>
    <xf numFmtId="171" fontId="9" fillId="0" borderId="15" xfId="3" applyFont="1" applyBorder="1" applyAlignment="1">
      <alignment horizontal="center" vertical="center"/>
    </xf>
    <xf numFmtId="171" fontId="9" fillId="0" borderId="3" xfId="3" applyFont="1" applyBorder="1" applyAlignment="1">
      <alignment horizontal="center" vertical="center" wrapText="1"/>
    </xf>
    <xf numFmtId="0" fontId="28" fillId="0" borderId="5" xfId="3" applyNumberFormat="1" applyFont="1" applyBorder="1" applyAlignment="1" applyProtection="1">
      <alignment horizontal="left" vertical="center"/>
    </xf>
    <xf numFmtId="3" fontId="28" fillId="0" borderId="5" xfId="3" applyNumberFormat="1" applyFont="1" applyBorder="1" applyAlignment="1" applyProtection="1">
      <alignment horizontal="centerContinuous" vertical="center"/>
    </xf>
    <xf numFmtId="3" fontId="28" fillId="0" borderId="0" xfId="3" applyNumberFormat="1" applyFont="1" applyBorder="1" applyAlignment="1" applyProtection="1">
      <alignment horizontal="centerContinuous" vertical="center"/>
    </xf>
    <xf numFmtId="169" fontId="28" fillId="0" borderId="7" xfId="3" applyNumberFormat="1" applyFont="1" applyBorder="1" applyAlignment="1" applyProtection="1">
      <alignment horizontal="centerContinuous" vertical="center"/>
    </xf>
    <xf numFmtId="169" fontId="28" fillId="0" borderId="6" xfId="3" applyNumberFormat="1" applyFont="1" applyBorder="1" applyAlignment="1" applyProtection="1">
      <alignment horizontal="centerContinuous" vertical="center"/>
    </xf>
    <xf numFmtId="165" fontId="28" fillId="0" borderId="0" xfId="3" applyNumberFormat="1" applyFont="1" applyBorder="1" applyAlignment="1">
      <alignment horizontal="centerContinuous" vertical="center"/>
    </xf>
    <xf numFmtId="165" fontId="28" fillId="0" borderId="6" xfId="3" applyNumberFormat="1" applyFont="1" applyBorder="1" applyAlignment="1">
      <alignment horizontal="centerContinuous" vertical="center"/>
    </xf>
    <xf numFmtId="0" fontId="28" fillId="0" borderId="6" xfId="3" applyNumberFormat="1" applyFont="1" applyBorder="1" applyAlignment="1" applyProtection="1">
      <alignment horizontal="left" vertical="center"/>
    </xf>
    <xf numFmtId="3" fontId="28" fillId="0" borderId="0" xfId="3" applyNumberFormat="1" applyFont="1" applyBorder="1" applyAlignment="1" applyProtection="1">
      <alignment horizontal="centerContinuous" vertical="center"/>
      <protection locked="0"/>
    </xf>
    <xf numFmtId="3" fontId="28" fillId="0" borderId="6" xfId="3" applyNumberFormat="1" applyFont="1" applyBorder="1" applyAlignment="1" applyProtection="1">
      <alignment horizontal="centerContinuous" vertical="center"/>
      <protection locked="0"/>
    </xf>
    <xf numFmtId="3" fontId="28" fillId="0" borderId="6" xfId="3" applyNumberFormat="1" applyFont="1" applyBorder="1" applyAlignment="1" applyProtection="1">
      <alignment horizontal="center" vertical="center"/>
      <protection locked="0"/>
    </xf>
    <xf numFmtId="3" fontId="28" fillId="0" borderId="6" xfId="3" applyNumberFormat="1" applyFont="1" applyBorder="1" applyAlignment="1" applyProtection="1">
      <alignment horizontal="centerContinuous" vertical="center"/>
    </xf>
    <xf numFmtId="3" fontId="23" fillId="0" borderId="6" xfId="3" applyNumberFormat="1" applyFont="1" applyBorder="1" applyAlignment="1" applyProtection="1">
      <alignment horizontal="center" vertical="center"/>
      <protection locked="0"/>
    </xf>
    <xf numFmtId="0" fontId="28" fillId="0" borderId="3" xfId="3" applyNumberFormat="1" applyFont="1" applyBorder="1" applyAlignment="1" applyProtection="1">
      <alignment horizontal="left" vertical="center"/>
    </xf>
    <xf numFmtId="3" fontId="28" fillId="0" borderId="15" xfId="3" applyNumberFormat="1" applyFont="1" applyBorder="1" applyAlignment="1" applyProtection="1">
      <alignment horizontal="centerContinuous" vertical="center"/>
      <protection locked="0"/>
    </xf>
    <xf numFmtId="3" fontId="28" fillId="0" borderId="3" xfId="3" applyNumberFormat="1" applyFont="1" applyBorder="1" applyAlignment="1" applyProtection="1">
      <alignment horizontal="centerContinuous" vertical="center"/>
      <protection locked="0"/>
    </xf>
    <xf numFmtId="3" fontId="28" fillId="0" borderId="3" xfId="3" applyNumberFormat="1" applyFont="1" applyBorder="1" applyAlignment="1" applyProtection="1">
      <alignment horizontal="center" vertical="center"/>
      <protection locked="0"/>
    </xf>
    <xf numFmtId="3" fontId="28" fillId="0" borderId="15" xfId="3" applyNumberFormat="1" applyFont="1" applyBorder="1" applyAlignment="1" applyProtection="1">
      <alignment horizontal="centerContinuous" vertical="center"/>
    </xf>
    <xf numFmtId="3" fontId="28" fillId="0" borderId="3" xfId="3" applyNumberFormat="1" applyFont="1" applyBorder="1" applyAlignment="1" applyProtection="1">
      <alignment horizontal="centerContinuous" vertical="center"/>
    </xf>
    <xf numFmtId="169" fontId="28" fillId="0" borderId="10" xfId="3" applyNumberFormat="1" applyFont="1" applyBorder="1" applyAlignment="1" applyProtection="1">
      <alignment horizontal="centerContinuous" vertical="center"/>
    </xf>
    <xf numFmtId="169" fontId="28" fillId="0" borderId="3" xfId="3" applyNumberFormat="1" applyFont="1" applyBorder="1" applyAlignment="1" applyProtection="1">
      <alignment horizontal="centerContinuous" vertical="center"/>
    </xf>
    <xf numFmtId="165" fontId="28" fillId="0" borderId="15" xfId="3" applyNumberFormat="1" applyFont="1" applyBorder="1" applyAlignment="1">
      <alignment horizontal="centerContinuous" vertical="center"/>
    </xf>
    <xf numFmtId="165" fontId="28" fillId="0" borderId="3" xfId="3" applyNumberFormat="1" applyFont="1" applyBorder="1" applyAlignment="1">
      <alignment horizontal="centerContinuous" vertical="center"/>
    </xf>
    <xf numFmtId="0" fontId="28" fillId="0" borderId="0" xfId="3" applyNumberFormat="1" applyFont="1"/>
    <xf numFmtId="16" fontId="28" fillId="0" borderId="0" xfId="3" applyNumberFormat="1" applyFont="1"/>
    <xf numFmtId="172" fontId="28" fillId="0" borderId="0" xfId="3" applyNumberFormat="1" applyFont="1"/>
    <xf numFmtId="170" fontId="28" fillId="0" borderId="0" xfId="3" applyNumberFormat="1" applyFont="1"/>
    <xf numFmtId="3" fontId="28" fillId="0" borderId="0" xfId="3" applyNumberFormat="1" applyFont="1" applyBorder="1" applyAlignment="1" applyProtection="1">
      <alignment horizontal="center" vertical="center"/>
    </xf>
    <xf numFmtId="3" fontId="28" fillId="0" borderId="6" xfId="3" applyNumberFormat="1" applyFont="1" applyBorder="1" applyAlignment="1" applyProtection="1">
      <alignment horizontal="center" vertical="center"/>
    </xf>
    <xf numFmtId="3" fontId="28" fillId="0" borderId="0" xfId="3" applyNumberFormat="1" applyFont="1" applyBorder="1" applyAlignment="1" applyProtection="1">
      <alignment horizontal="center" vertical="center"/>
      <protection locked="0"/>
    </xf>
    <xf numFmtId="3" fontId="28" fillId="0" borderId="3" xfId="3" applyNumberFormat="1" applyFont="1" applyBorder="1" applyAlignment="1" applyProtection="1">
      <alignment vertical="center"/>
      <protection locked="0"/>
    </xf>
    <xf numFmtId="3" fontId="28" fillId="0" borderId="15" xfId="3" applyNumberFormat="1" applyFont="1" applyBorder="1" applyAlignment="1" applyProtection="1">
      <alignment vertical="center"/>
      <protection locked="0"/>
    </xf>
    <xf numFmtId="169" fontId="28" fillId="0" borderId="7" xfId="3" applyNumberFormat="1" applyFont="1" applyBorder="1" applyAlignment="1" applyProtection="1">
      <alignment horizontal="center" vertical="center"/>
    </xf>
    <xf numFmtId="3" fontId="28" fillId="0" borderId="6" xfId="3" applyNumberFormat="1" applyFont="1" applyBorder="1" applyAlignment="1" applyProtection="1">
      <alignment vertical="center"/>
      <protection locked="0"/>
    </xf>
    <xf numFmtId="3" fontId="28" fillId="0" borderId="0" xfId="3" applyNumberFormat="1" applyFont="1" applyBorder="1" applyAlignment="1" applyProtection="1">
      <alignment vertical="center"/>
      <protection locked="0"/>
    </xf>
    <xf numFmtId="169" fontId="28" fillId="0" borderId="11" xfId="3" applyNumberFormat="1" applyFont="1" applyBorder="1" applyAlignment="1" applyProtection="1">
      <alignment horizontal="centerContinuous" vertical="center"/>
    </xf>
    <xf numFmtId="169" fontId="28" fillId="0" borderId="5" xfId="3" applyNumberFormat="1" applyFont="1" applyBorder="1" applyAlignment="1" applyProtection="1">
      <alignment horizontal="centerContinuous" vertical="center"/>
    </xf>
    <xf numFmtId="165" fontId="28" fillId="0" borderId="12" xfId="3" applyNumberFormat="1" applyFont="1" applyBorder="1" applyAlignment="1">
      <alignment horizontal="centerContinuous" vertical="center"/>
    </xf>
    <xf numFmtId="165" fontId="28" fillId="0" borderId="5" xfId="3" applyNumberFormat="1" applyFont="1" applyBorder="1" applyAlignment="1">
      <alignment horizontal="centerContinuous" vertical="center"/>
    </xf>
    <xf numFmtId="0" fontId="28" fillId="0" borderId="6" xfId="3" applyNumberFormat="1" applyFont="1" applyBorder="1" applyAlignment="1">
      <alignment vertical="center"/>
    </xf>
    <xf numFmtId="0" fontId="28" fillId="0" borderId="6" xfId="3" applyNumberFormat="1" applyFont="1" applyBorder="1" applyAlignment="1">
      <alignment horizontal="center" vertical="center"/>
    </xf>
    <xf numFmtId="0" fontId="28" fillId="0" borderId="6" xfId="3" applyNumberFormat="1" applyFont="1" applyBorder="1" applyAlignment="1">
      <alignment horizontal="centerContinuous" vertical="center"/>
    </xf>
    <xf numFmtId="3" fontId="28" fillId="0" borderId="6" xfId="3" applyNumberFormat="1" applyFont="1" applyBorder="1" applyAlignment="1">
      <alignment horizontal="center" vertical="center"/>
    </xf>
    <xf numFmtId="0" fontId="28" fillId="0" borderId="6" xfId="3" applyNumberFormat="1" applyFont="1" applyBorder="1" applyAlignment="1">
      <alignment horizontal="left" vertical="center"/>
    </xf>
    <xf numFmtId="0" fontId="28" fillId="0" borderId="3" xfId="3" applyNumberFormat="1" applyFont="1" applyBorder="1" applyAlignment="1">
      <alignment vertical="center"/>
    </xf>
    <xf numFmtId="0" fontId="28" fillId="0" borderId="3" xfId="3" applyNumberFormat="1" applyFont="1" applyBorder="1" applyAlignment="1">
      <alignment horizontal="center" vertical="center"/>
    </xf>
    <xf numFmtId="3" fontId="28" fillId="0" borderId="15" xfId="3" applyNumberFormat="1" applyFont="1" applyBorder="1" applyAlignment="1" applyProtection="1">
      <alignment horizontal="center" vertical="center"/>
    </xf>
    <xf numFmtId="3" fontId="28" fillId="0" borderId="3" xfId="3" applyNumberFormat="1" applyFont="1" applyBorder="1" applyAlignment="1" applyProtection="1">
      <alignment horizontal="center" vertical="center"/>
    </xf>
    <xf numFmtId="3" fontId="28" fillId="0" borderId="3" xfId="3" applyNumberFormat="1" applyFont="1" applyBorder="1" applyAlignment="1">
      <alignment horizontal="center" vertical="center"/>
    </xf>
    <xf numFmtId="0" fontId="61" fillId="0" borderId="0" xfId="4" applyFont="1" applyAlignment="1">
      <alignment horizontal="centerContinuous"/>
    </xf>
    <xf numFmtId="0" fontId="12" fillId="0" borderId="0" xfId="4" applyFont="1" applyAlignment="1">
      <alignment horizontal="centerContinuous"/>
    </xf>
    <xf numFmtId="0" fontId="8" fillId="0" borderId="0" xfId="4" applyFont="1" applyAlignment="1">
      <alignment horizontal="centerContinuous"/>
    </xf>
    <xf numFmtId="0" fontId="2" fillId="0" borderId="0" xfId="4"/>
    <xf numFmtId="0" fontId="2" fillId="0" borderId="0" xfId="4" applyAlignment="1">
      <alignment horizontal="centerContinuous"/>
    </xf>
    <xf numFmtId="0" fontId="2" fillId="0" borderId="11" xfId="4" applyBorder="1" applyAlignment="1">
      <alignment vertical="center"/>
    </xf>
    <xf numFmtId="0" fontId="19" fillId="0" borderId="11" xfId="5" applyFont="1" applyBorder="1" applyAlignment="1">
      <alignment horizontal="center" vertical="center"/>
    </xf>
    <xf numFmtId="0" fontId="6" fillId="0" borderId="11" xfId="4" applyFont="1" applyBorder="1" applyAlignment="1">
      <alignment horizontal="centerContinuous" vertical="center"/>
    </xf>
    <xf numFmtId="0" fontId="6" fillId="0" borderId="5" xfId="4" applyFont="1" applyBorder="1" applyAlignment="1">
      <alignment horizontal="centerContinuous" vertical="center"/>
    </xf>
    <xf numFmtId="0" fontId="6" fillId="0" borderId="2" xfId="4" applyFont="1" applyBorder="1" applyAlignment="1">
      <alignment horizontal="centerContinuous" vertical="center"/>
    </xf>
    <xf numFmtId="0" fontId="6" fillId="0" borderId="0" xfId="4" applyFont="1" applyAlignment="1">
      <alignment vertical="center"/>
    </xf>
    <xf numFmtId="0" fontId="2" fillId="0" borderId="10" xfId="4" applyBorder="1" applyAlignment="1">
      <alignment horizontal="center" vertical="top"/>
    </xf>
    <xf numFmtId="0" fontId="19" fillId="0" borderId="10" xfId="5" applyFont="1" applyBorder="1" applyAlignment="1">
      <alignment horizontal="center" vertical="center"/>
    </xf>
    <xf numFmtId="0" fontId="6" fillId="0" borderId="10" xfId="4" applyFont="1" applyBorder="1" applyAlignment="1">
      <alignment horizontal="centerContinuous" vertical="center"/>
    </xf>
    <xf numFmtId="0" fontId="6" fillId="0" borderId="3" xfId="4" applyFont="1" applyBorder="1" applyAlignment="1">
      <alignment horizontal="centerContinuous" vertical="center"/>
    </xf>
    <xf numFmtId="0" fontId="6" fillId="0" borderId="14" xfId="4" applyFont="1" applyBorder="1" applyAlignment="1">
      <alignment horizontal="centerContinuous" vertical="center"/>
    </xf>
    <xf numFmtId="0" fontId="2" fillId="0" borderId="7" xfId="4" applyBorder="1" applyAlignment="1">
      <alignment horizontal="center" vertical="center"/>
    </xf>
    <xf numFmtId="3" fontId="6" fillId="0" borderId="5" xfId="4" applyNumberFormat="1" applyFont="1" applyBorder="1" applyAlignment="1">
      <alignment horizontal="centerContinuous" vertical="center"/>
    </xf>
    <xf numFmtId="3" fontId="6" fillId="0" borderId="0" xfId="4" applyNumberFormat="1" applyFont="1" applyBorder="1" applyAlignment="1">
      <alignment horizontal="centerContinuous" vertical="center"/>
    </xf>
    <xf numFmtId="166" fontId="6" fillId="0" borderId="6" xfId="4" applyNumberFormat="1" applyFont="1" applyBorder="1" applyAlignment="1">
      <alignment horizontal="centerContinuous" vertical="center"/>
    </xf>
    <xf numFmtId="2" fontId="6" fillId="0" borderId="13" xfId="4" applyNumberFormat="1" applyFont="1" applyBorder="1" applyAlignment="1">
      <alignment horizontal="centerContinuous" vertical="center"/>
    </xf>
    <xf numFmtId="0" fontId="2" fillId="0" borderId="6" xfId="4" applyBorder="1" applyAlignment="1">
      <alignment horizontal="center" vertical="center"/>
    </xf>
    <xf numFmtId="3" fontId="6" fillId="0" borderId="6" xfId="4" applyNumberFormat="1" applyFont="1" applyBorder="1" applyAlignment="1">
      <alignment horizontal="centerContinuous" vertical="center"/>
    </xf>
    <xf numFmtId="3" fontId="6" fillId="0" borderId="0" xfId="4" applyNumberFormat="1" applyFont="1" applyBorder="1" applyAlignment="1">
      <alignment horizontal="center" vertical="center"/>
    </xf>
    <xf numFmtId="3" fontId="6" fillId="0" borderId="6" xfId="4" applyNumberFormat="1" applyFont="1" applyBorder="1" applyAlignment="1">
      <alignment horizontal="center" vertical="center"/>
    </xf>
    <xf numFmtId="166" fontId="6" fillId="0" borderId="6" xfId="4" applyNumberFormat="1" applyFont="1" applyBorder="1" applyAlignment="1">
      <alignment horizontal="center" vertical="center"/>
    </xf>
    <xf numFmtId="2" fontId="6" fillId="0" borderId="13" xfId="4" applyNumberFormat="1" applyFont="1" applyBorder="1" applyAlignment="1">
      <alignment horizontal="center" vertical="center"/>
    </xf>
    <xf numFmtId="0" fontId="2" fillId="0" borderId="3" xfId="4" applyBorder="1" applyAlignment="1">
      <alignment horizontal="center" vertical="center"/>
    </xf>
    <xf numFmtId="3" fontId="6" fillId="0" borderId="15" xfId="4" applyNumberFormat="1" applyFont="1" applyBorder="1" applyAlignment="1">
      <alignment horizontal="centerContinuous" vertical="center"/>
    </xf>
    <xf numFmtId="3" fontId="6" fillId="0" borderId="3" xfId="4" applyNumberFormat="1" applyFont="1" applyBorder="1" applyAlignment="1">
      <alignment horizontal="centerContinuous" vertical="center"/>
    </xf>
    <xf numFmtId="166" fontId="6" fillId="0" borderId="3" xfId="4" applyNumberFormat="1" applyFont="1" applyBorder="1" applyAlignment="1">
      <alignment horizontal="centerContinuous" vertical="center"/>
    </xf>
    <xf numFmtId="2" fontId="6" fillId="0" borderId="14" xfId="4" applyNumberFormat="1" applyFont="1" applyBorder="1" applyAlignment="1">
      <alignment horizontal="centerContinuous" vertical="center"/>
    </xf>
    <xf numFmtId="0" fontId="2" fillId="0" borderId="0" xfId="4" applyBorder="1" applyAlignment="1">
      <alignment horizontal="centerContinuous" vertical="center"/>
    </xf>
    <xf numFmtId="2" fontId="6" fillId="0" borderId="0" xfId="4" applyNumberFormat="1" applyFont="1" applyBorder="1" applyAlignment="1">
      <alignment horizontal="centerContinuous" vertical="center"/>
    </xf>
    <xf numFmtId="0" fontId="2" fillId="0" borderId="0" xfId="4" applyAlignment="1">
      <alignment vertical="center"/>
    </xf>
    <xf numFmtId="0" fontId="8" fillId="0" borderId="0" xfId="4" applyFont="1" applyAlignment="1"/>
    <xf numFmtId="0" fontId="6" fillId="0" borderId="0" xfId="4" applyFont="1"/>
    <xf numFmtId="0" fontId="2" fillId="0" borderId="10" xfId="4" applyBorder="1" applyAlignment="1">
      <alignment horizontal="centerContinuous" vertical="top"/>
    </xf>
    <xf numFmtId="0" fontId="2" fillId="0" borderId="11" xfId="4" applyBorder="1" applyAlignment="1">
      <alignment horizontal="center" vertical="center"/>
    </xf>
    <xf numFmtId="0" fontId="2" fillId="0" borderId="5" xfId="4" applyBorder="1" applyAlignment="1">
      <alignment horizontal="center" vertical="center"/>
    </xf>
    <xf numFmtId="3" fontId="6" fillId="0" borderId="7" xfId="4" applyNumberFormat="1" applyFont="1" applyBorder="1" applyAlignment="1">
      <alignment horizontal="centerContinuous" vertical="center"/>
    </xf>
    <xf numFmtId="2" fontId="6" fillId="0" borderId="6" xfId="4" applyNumberFormat="1" applyFont="1" applyBorder="1" applyAlignment="1">
      <alignment horizontal="centerContinuous" vertical="center"/>
    </xf>
    <xf numFmtId="3" fontId="6" fillId="0" borderId="7" xfId="4" applyNumberFormat="1" applyFont="1" applyBorder="1" applyAlignment="1">
      <alignment horizontal="center" vertical="center"/>
    </xf>
    <xf numFmtId="0" fontId="2" fillId="0" borderId="10" xfId="4" applyBorder="1" applyAlignment="1">
      <alignment horizontal="center" vertical="center"/>
    </xf>
    <xf numFmtId="1" fontId="2" fillId="0" borderId="3" xfId="4" applyNumberFormat="1" applyBorder="1" applyAlignment="1">
      <alignment horizontal="center" vertical="center"/>
    </xf>
    <xf numFmtId="3" fontId="6" fillId="0" borderId="10" xfId="4" applyNumberFormat="1" applyFont="1" applyBorder="1" applyAlignment="1">
      <alignment horizontal="centerContinuous" vertical="center"/>
    </xf>
    <xf numFmtId="0" fontId="12" fillId="0" borderId="0" xfId="4" applyFont="1" applyAlignment="1"/>
    <xf numFmtId="0" fontId="15" fillId="0" borderId="0" xfId="4" applyFont="1"/>
    <xf numFmtId="0" fontId="28" fillId="0" borderId="0" xfId="4" applyFont="1"/>
    <xf numFmtId="0" fontId="28" fillId="0" borderId="0" xfId="4" applyFont="1" applyAlignment="1">
      <alignment horizontal="centerContinuous"/>
    </xf>
    <xf numFmtId="0" fontId="28" fillId="0" borderId="0" xfId="4" applyFont="1" applyAlignment="1"/>
    <xf numFmtId="0" fontId="28" fillId="0" borderId="11" xfId="4" applyFont="1" applyBorder="1" applyAlignment="1">
      <alignment horizontal="centerContinuous" vertical="center"/>
    </xf>
    <xf numFmtId="0" fontId="28" fillId="0" borderId="5" xfId="4" applyFont="1" applyBorder="1" applyAlignment="1">
      <alignment horizontal="centerContinuous" vertical="center"/>
    </xf>
    <xf numFmtId="0" fontId="28" fillId="0" borderId="2" xfId="4" applyFont="1" applyBorder="1" applyAlignment="1">
      <alignment horizontal="centerContinuous" vertical="center"/>
    </xf>
    <xf numFmtId="0" fontId="28" fillId="0" borderId="0" xfId="4" applyFont="1" applyAlignment="1">
      <alignment vertical="center"/>
    </xf>
    <xf numFmtId="0" fontId="28" fillId="0" borderId="10" xfId="4" applyFont="1" applyBorder="1" applyAlignment="1">
      <alignment horizontal="centerContinuous" vertical="center"/>
    </xf>
    <xf numFmtId="0" fontId="28" fillId="0" borderId="3" xfId="4" applyFont="1" applyBorder="1" applyAlignment="1">
      <alignment horizontal="centerContinuous" vertical="center"/>
    </xf>
    <xf numFmtId="0" fontId="28" fillId="0" borderId="14" xfId="4" applyFont="1" applyBorder="1" applyAlignment="1">
      <alignment horizontal="centerContinuous" vertical="center"/>
    </xf>
    <xf numFmtId="3" fontId="28" fillId="0" borderId="7" xfId="4" applyNumberFormat="1" applyFont="1" applyBorder="1" applyAlignment="1">
      <alignment horizontal="centerContinuous" vertical="center"/>
    </xf>
    <xf numFmtId="166" fontId="28" fillId="0" borderId="6" xfId="4" applyNumberFormat="1" applyFont="1" applyBorder="1" applyAlignment="1">
      <alignment horizontal="centerContinuous" vertical="center"/>
    </xf>
    <xf numFmtId="2" fontId="28" fillId="0" borderId="13" xfId="4" applyNumberFormat="1" applyFont="1" applyBorder="1" applyAlignment="1">
      <alignment horizontal="centerContinuous" vertical="center"/>
    </xf>
    <xf numFmtId="166" fontId="28" fillId="0" borderId="7" xfId="4" applyNumberFormat="1" applyFont="1" applyBorder="1" applyAlignment="1">
      <alignment horizontal="centerContinuous" vertical="center"/>
    </xf>
    <xf numFmtId="2" fontId="28" fillId="0" borderId="6" xfId="4" applyNumberFormat="1" applyFont="1" applyBorder="1" applyAlignment="1">
      <alignment horizontal="centerContinuous" vertical="center"/>
    </xf>
    <xf numFmtId="3" fontId="28" fillId="0" borderId="7" xfId="4" applyNumberFormat="1" applyFont="1" applyBorder="1" applyAlignment="1">
      <alignment horizontal="center" vertical="center"/>
    </xf>
    <xf numFmtId="166" fontId="28" fillId="0" borderId="6" xfId="4" applyNumberFormat="1" applyFont="1" applyBorder="1" applyAlignment="1">
      <alignment horizontal="center" vertical="center"/>
    </xf>
    <xf numFmtId="2" fontId="28" fillId="0" borderId="13" xfId="4" applyNumberFormat="1" applyFont="1" applyBorder="1" applyAlignment="1">
      <alignment horizontal="center" vertical="center"/>
    </xf>
    <xf numFmtId="3" fontId="28" fillId="0" borderId="10" xfId="4" applyNumberFormat="1" applyFont="1" applyBorder="1" applyAlignment="1">
      <alignment horizontal="centerContinuous" vertical="center"/>
    </xf>
    <xf numFmtId="166" fontId="28" fillId="0" borderId="3" xfId="4" applyNumberFormat="1" applyFont="1" applyBorder="1" applyAlignment="1">
      <alignment horizontal="centerContinuous" vertical="center"/>
    </xf>
    <xf numFmtId="2" fontId="28" fillId="0" borderId="14" xfId="4" applyNumberFormat="1" applyFont="1" applyBorder="1" applyAlignment="1">
      <alignment horizontal="centerContinuous" vertical="center"/>
    </xf>
    <xf numFmtId="3" fontId="6" fillId="0" borderId="13" xfId="4" applyNumberFormat="1" applyFont="1" applyBorder="1" applyAlignment="1">
      <alignment horizontal="centerContinuous" vertical="center"/>
    </xf>
    <xf numFmtId="0" fontId="2" fillId="0" borderId="0" xfId="4" applyAlignment="1"/>
    <xf numFmtId="0" fontId="6" fillId="0" borderId="0" xfId="4" applyFont="1" applyAlignment="1"/>
    <xf numFmtId="166" fontId="6" fillId="0" borderId="0" xfId="4" applyNumberFormat="1" applyFont="1" applyBorder="1" applyAlignment="1">
      <alignment horizontal="centerContinuous" vertical="center"/>
    </xf>
    <xf numFmtId="0" fontId="22" fillId="0" borderId="0" xfId="6" applyFont="1" applyAlignment="1">
      <alignment horizontal="centerContinuous"/>
    </xf>
    <xf numFmtId="0" fontId="2" fillId="0" borderId="0" xfId="6" applyAlignment="1">
      <alignment horizontal="centerContinuous"/>
    </xf>
    <xf numFmtId="3" fontId="2" fillId="0" borderId="0" xfId="6" applyNumberFormat="1" applyAlignment="1">
      <alignment horizontal="centerContinuous"/>
    </xf>
    <xf numFmtId="0" fontId="2" fillId="0" borderId="0" xfId="6"/>
    <xf numFmtId="0" fontId="5" fillId="0" borderId="0" xfId="6" applyFont="1"/>
    <xf numFmtId="3" fontId="2" fillId="0" borderId="0" xfId="6" applyNumberFormat="1"/>
    <xf numFmtId="0" fontId="10" fillId="0" borderId="5" xfId="6" applyFont="1" applyBorder="1" applyAlignment="1"/>
    <xf numFmtId="0" fontId="2" fillId="0" borderId="5" xfId="6" applyBorder="1" applyAlignment="1">
      <alignment vertical="center"/>
    </xf>
    <xf numFmtId="0" fontId="2" fillId="0" borderId="12" xfId="6" applyBorder="1" applyAlignment="1">
      <alignment vertical="center"/>
    </xf>
    <xf numFmtId="0" fontId="2" fillId="0" borderId="12" xfId="6" applyBorder="1" applyAlignment="1">
      <alignment horizontal="centerContinuous" vertical="center"/>
    </xf>
    <xf numFmtId="0" fontId="2" fillId="0" borderId="2" xfId="6" applyBorder="1" applyAlignment="1">
      <alignment horizontal="center" vertical="center"/>
    </xf>
    <xf numFmtId="0" fontId="10" fillId="0" borderId="3" xfId="6" applyFont="1" applyBorder="1" applyAlignment="1">
      <alignment vertical="top" wrapText="1"/>
    </xf>
    <xf numFmtId="0" fontId="6" fillId="0" borderId="3" xfId="6" applyFont="1" applyBorder="1" applyAlignment="1">
      <alignment vertical="top"/>
    </xf>
    <xf numFmtId="0" fontId="9" fillId="0" borderId="1" xfId="6" applyFont="1" applyBorder="1" applyAlignment="1">
      <alignment horizontal="center" vertical="top" wrapText="1"/>
    </xf>
    <xf numFmtId="0" fontId="9" fillId="0" borderId="9" xfId="6" applyFont="1" applyBorder="1" applyAlignment="1">
      <alignment horizontal="centerContinuous" vertical="center"/>
    </xf>
    <xf numFmtId="0" fontId="9" fillId="0" borderId="8" xfId="6" applyFont="1" applyBorder="1" applyAlignment="1">
      <alignment horizontal="centerContinuous" vertical="center"/>
    </xf>
    <xf numFmtId="0" fontId="9" fillId="0" borderId="4" xfId="6" applyFont="1" applyBorder="1" applyAlignment="1">
      <alignment horizontal="centerContinuous" vertical="center"/>
    </xf>
    <xf numFmtId="0" fontId="10" fillId="0" borderId="6" xfId="6" applyFont="1" applyBorder="1" applyAlignment="1">
      <alignment vertical="center"/>
    </xf>
    <xf numFmtId="0" fontId="2" fillId="0" borderId="6" xfId="6" applyBorder="1" applyAlignment="1">
      <alignment vertical="center"/>
    </xf>
    <xf numFmtId="0" fontId="2" fillId="0" borderId="0" xfId="6" applyBorder="1" applyAlignment="1">
      <alignment vertical="center"/>
    </xf>
    <xf numFmtId="3" fontId="2" fillId="0" borderId="13" xfId="6" applyNumberFormat="1" applyBorder="1" applyAlignment="1">
      <alignment vertical="center"/>
    </xf>
    <xf numFmtId="0" fontId="9" fillId="0" borderId="6" xfId="6" applyFont="1" applyBorder="1" applyAlignment="1">
      <alignment horizontal="centerContinuous" vertical="center"/>
    </xf>
    <xf numFmtId="0" fontId="9" fillId="0" borderId="6" xfId="6" applyFont="1" applyBorder="1" applyAlignment="1">
      <alignment vertical="center"/>
    </xf>
    <xf numFmtId="3" fontId="28" fillId="0" borderId="6" xfId="6" applyNumberFormat="1" applyFont="1" applyBorder="1" applyAlignment="1">
      <alignment horizontal="center" vertical="center"/>
    </xf>
    <xf numFmtId="3" fontId="28" fillId="0" borderId="0" xfId="6" applyNumberFormat="1" applyFont="1" applyBorder="1" applyAlignment="1">
      <alignment horizontal="centerContinuous" vertical="center"/>
    </xf>
    <xf numFmtId="3" fontId="28" fillId="0" borderId="6" xfId="6" applyNumberFormat="1" applyFont="1" applyBorder="1" applyAlignment="1">
      <alignment horizontal="centerContinuous" vertical="center"/>
    </xf>
    <xf numFmtId="3" fontId="28" fillId="0" borderId="13" xfId="6" applyNumberFormat="1" applyFont="1" applyBorder="1" applyAlignment="1">
      <alignment horizontal="centerContinuous" vertical="center"/>
    </xf>
    <xf numFmtId="0" fontId="9" fillId="0" borderId="6" xfId="6" applyFont="1" applyBorder="1" applyAlignment="1">
      <alignment vertical="center" wrapText="1"/>
    </xf>
    <xf numFmtId="0" fontId="9" fillId="0" borderId="3" xfId="6" applyFont="1" applyBorder="1" applyAlignment="1">
      <alignment vertical="center"/>
    </xf>
    <xf numFmtId="3" fontId="28" fillId="0" borderId="3" xfId="6" applyNumberFormat="1" applyFont="1" applyBorder="1" applyAlignment="1">
      <alignment horizontal="center" vertical="center"/>
    </xf>
    <xf numFmtId="3" fontId="28" fillId="0" borderId="15" xfId="6" applyNumberFormat="1" applyFont="1" applyBorder="1" applyAlignment="1">
      <alignment horizontal="centerContinuous" vertical="center"/>
    </xf>
    <xf numFmtId="3" fontId="28" fillId="0" borderId="3" xfId="6" applyNumberFormat="1" applyFont="1" applyBorder="1" applyAlignment="1">
      <alignment horizontal="centerContinuous" vertical="center"/>
    </xf>
    <xf numFmtId="3" fontId="28" fillId="0" borderId="14" xfId="6" applyNumberFormat="1" applyFont="1" applyBorder="1" applyAlignment="1">
      <alignment horizontal="centerContinuous" vertical="center"/>
    </xf>
    <xf numFmtId="0" fontId="9" fillId="0" borderId="0" xfId="6" applyFont="1" applyBorder="1" applyAlignment="1">
      <alignment vertical="center"/>
    </xf>
    <xf numFmtId="0" fontId="9" fillId="0" borderId="0" xfId="6" applyFont="1" applyBorder="1" applyAlignment="1">
      <alignment horizontal="centerContinuous" vertical="center"/>
    </xf>
    <xf numFmtId="3" fontId="9" fillId="0" borderId="0" xfId="6" applyNumberFormat="1" applyFont="1" applyBorder="1" applyAlignment="1">
      <alignment horizontal="centerContinuous" vertical="center"/>
    </xf>
    <xf numFmtId="0" fontId="62" fillId="0" borderId="0" xfId="6" applyFont="1" applyAlignment="1">
      <alignment horizontal="centerContinuous" vertical="center"/>
    </xf>
    <xf numFmtId="0" fontId="9" fillId="0" borderId="0" xfId="6" applyFont="1" applyAlignment="1">
      <alignment horizontal="centerContinuous" vertical="center"/>
    </xf>
    <xf numFmtId="3" fontId="9" fillId="0" borderId="0" xfId="6" applyNumberFormat="1" applyFont="1" applyAlignment="1">
      <alignment vertical="center"/>
    </xf>
    <xf numFmtId="0" fontId="31" fillId="0" borderId="0" xfId="6" applyFont="1" applyAlignment="1">
      <alignment horizontal="centerContinuous" vertical="center"/>
    </xf>
    <xf numFmtId="0" fontId="2" fillId="0" borderId="0" xfId="6" applyAlignment="1">
      <alignment horizontal="centerContinuous" vertical="center"/>
    </xf>
    <xf numFmtId="3" fontId="2" fillId="0" borderId="0" xfId="6" applyNumberFormat="1" applyAlignment="1">
      <alignment vertical="center"/>
    </xf>
    <xf numFmtId="0" fontId="2" fillId="0" borderId="0" xfId="6" applyAlignment="1">
      <alignment vertical="center"/>
    </xf>
    <xf numFmtId="0" fontId="2" fillId="0" borderId="2" xfId="6" applyBorder="1" applyAlignment="1">
      <alignment horizontal="centerContinuous" vertical="center"/>
    </xf>
    <xf numFmtId="0" fontId="2" fillId="0" borderId="13" xfId="6" applyBorder="1" applyAlignment="1">
      <alignment vertical="center"/>
    </xf>
    <xf numFmtId="3" fontId="23" fillId="0" borderId="0" xfId="6" applyNumberFormat="1" applyFont="1" applyBorder="1" applyAlignment="1">
      <alignment horizontal="centerContinuous" vertical="center"/>
    </xf>
    <xf numFmtId="0" fontId="15" fillId="0" borderId="0" xfId="6" applyFont="1" applyAlignment="1">
      <alignment horizontal="centerContinuous"/>
    </xf>
    <xf numFmtId="0" fontId="21" fillId="0" borderId="0" xfId="6" applyFont="1" applyAlignment="1">
      <alignment horizontal="centerContinuous"/>
    </xf>
    <xf numFmtId="0" fontId="9" fillId="0" borderId="5" xfId="6" applyFont="1" applyBorder="1" applyAlignment="1">
      <alignment horizontal="centerContinuous" vertical="center"/>
    </xf>
    <xf numFmtId="0" fontId="9" fillId="0" borderId="3" xfId="6" applyFont="1" applyBorder="1" applyAlignment="1">
      <alignment horizontal="centerContinuous" vertical="center"/>
    </xf>
    <xf numFmtId="3" fontId="28" fillId="0" borderId="0" xfId="6" quotePrefix="1" applyNumberFormat="1" applyFont="1" applyBorder="1" applyAlignment="1">
      <alignment horizontal="centerContinuous" vertical="center"/>
    </xf>
    <xf numFmtId="0" fontId="28" fillId="0" borderId="0" xfId="6" applyFont="1"/>
    <xf numFmtId="165" fontId="28" fillId="0" borderId="6" xfId="6" applyNumberFormat="1" applyFont="1" applyBorder="1" applyAlignment="1">
      <alignment horizontal="centerContinuous" vertical="center"/>
    </xf>
    <xf numFmtId="0" fontId="28" fillId="0" borderId="3" xfId="6" applyFont="1" applyBorder="1" applyAlignment="1">
      <alignment horizontal="centerContinuous" vertical="center"/>
    </xf>
    <xf numFmtId="0" fontId="26" fillId="0" borderId="0" xfId="6" applyFont="1" applyAlignment="1">
      <alignment horizontal="centerContinuous" vertical="center"/>
    </xf>
    <xf numFmtId="0" fontId="5" fillId="0" borderId="0" xfId="6" applyFont="1" applyAlignment="1">
      <alignment vertical="center"/>
    </xf>
    <xf numFmtId="0" fontId="10" fillId="0" borderId="5" xfId="6" applyFont="1" applyBorder="1" applyAlignment="1">
      <alignment vertical="center"/>
    </xf>
    <xf numFmtId="0" fontId="10" fillId="0" borderId="3" xfId="6" applyFont="1" applyBorder="1" applyAlignment="1">
      <alignment vertical="center" wrapText="1"/>
    </xf>
    <xf numFmtId="0" fontId="6" fillId="0" borderId="3" xfId="6" applyFont="1" applyBorder="1" applyAlignment="1">
      <alignment vertical="center"/>
    </xf>
    <xf numFmtId="0" fontId="9" fillId="0" borderId="1" xfId="6" applyFont="1" applyBorder="1" applyAlignment="1">
      <alignment horizontal="center" vertical="center" wrapText="1"/>
    </xf>
    <xf numFmtId="0" fontId="2" fillId="0" borderId="0" xfId="6" applyBorder="1" applyAlignment="1">
      <alignment horizontal="center" vertical="center"/>
    </xf>
    <xf numFmtId="0" fontId="2" fillId="0" borderId="5" xfId="6" applyBorder="1" applyAlignment="1">
      <alignment horizontal="center" vertical="center"/>
    </xf>
    <xf numFmtId="0" fontId="28" fillId="0" borderId="0" xfId="6" applyFont="1" applyBorder="1" applyAlignment="1">
      <alignment horizontal="center" vertical="center"/>
    </xf>
    <xf numFmtId="0" fontId="28" fillId="0" borderId="6" xfId="6" applyFont="1" applyBorder="1" applyAlignment="1">
      <alignment horizontal="center" vertical="center"/>
    </xf>
    <xf numFmtId="0" fontId="2" fillId="0" borderId="0" xfId="6" applyAlignment="1">
      <alignment horizontal="center" vertical="center"/>
    </xf>
    <xf numFmtId="0" fontId="2" fillId="0" borderId="0" xfId="6" applyFont="1" applyAlignment="1">
      <alignment horizontal="center" vertical="center"/>
    </xf>
    <xf numFmtId="0" fontId="9" fillId="0" borderId="0" xfId="6" applyFont="1" applyBorder="1" applyAlignment="1">
      <alignment horizontal="center" vertical="center"/>
    </xf>
    <xf numFmtId="0" fontId="63" fillId="0" borderId="0" xfId="6" applyFont="1" applyAlignment="1">
      <alignment horizontal="centerContinuous" vertical="center"/>
    </xf>
    <xf numFmtId="0" fontId="9" fillId="0" borderId="0" xfId="6" applyFont="1" applyAlignment="1">
      <alignment vertical="center"/>
    </xf>
    <xf numFmtId="0" fontId="33" fillId="0" borderId="0" xfId="6" applyFont="1" applyAlignment="1">
      <alignment horizontal="centerContinuous" vertical="center"/>
    </xf>
    <xf numFmtId="0" fontId="36" fillId="0" borderId="0" xfId="6" applyFont="1" applyAlignment="1">
      <alignment horizontal="center" vertical="center"/>
    </xf>
    <xf numFmtId="0" fontId="25" fillId="0" borderId="0" xfId="6" applyFont="1" applyAlignment="1">
      <alignment horizontal="center" vertical="center"/>
    </xf>
    <xf numFmtId="0" fontId="2" fillId="0" borderId="0" xfId="6" applyFont="1" applyAlignment="1">
      <alignment vertical="center"/>
    </xf>
    <xf numFmtId="0" fontId="26" fillId="0" borderId="0" xfId="6" applyFont="1" applyAlignment="1">
      <alignment horizontal="center" vertical="center"/>
    </xf>
    <xf numFmtId="0" fontId="33" fillId="0" borderId="0" xfId="6" applyFont="1" applyAlignment="1">
      <alignment vertical="center"/>
    </xf>
    <xf numFmtId="0" fontId="28" fillId="0" borderId="13" xfId="6" applyFont="1" applyBorder="1" applyAlignment="1">
      <alignment horizontal="centerContinuous" vertical="center"/>
    </xf>
    <xf numFmtId="0" fontId="28" fillId="0" borderId="3" xfId="6" applyFont="1" applyBorder="1" applyAlignment="1">
      <alignment horizontal="center" vertical="center"/>
    </xf>
    <xf numFmtId="0" fontId="28" fillId="0" borderId="15" xfId="6" applyFont="1" applyBorder="1" applyAlignment="1">
      <alignment horizontal="center" vertical="center"/>
    </xf>
    <xf numFmtId="3" fontId="9" fillId="0" borderId="0" xfId="6" applyNumberFormat="1" applyFont="1" applyBorder="1" applyAlignment="1">
      <alignment horizontal="center" vertical="center"/>
    </xf>
    <xf numFmtId="0" fontId="22" fillId="0" borderId="0" xfId="6" applyFont="1" applyAlignment="1">
      <alignment horizontal="center" vertical="center"/>
    </xf>
    <xf numFmtId="0" fontId="9" fillId="0" borderId="0" xfId="6" applyFont="1" applyAlignment="1">
      <alignment horizontal="center" vertical="center"/>
    </xf>
    <xf numFmtId="0" fontId="15" fillId="0" borderId="0" xfId="6" applyFont="1" applyAlignment="1">
      <alignment horizontal="center" vertical="center"/>
    </xf>
    <xf numFmtId="0" fontId="2" fillId="0" borderId="7" xfId="6" applyBorder="1" applyAlignment="1">
      <alignment horizontal="center" vertical="center"/>
    </xf>
    <xf numFmtId="0" fontId="9" fillId="0" borderId="8" xfId="6" applyFont="1" applyBorder="1" applyAlignment="1">
      <alignment horizontal="center" vertical="center"/>
    </xf>
    <xf numFmtId="0" fontId="9" fillId="0" borderId="4" xfId="6" applyFont="1" applyBorder="1" applyAlignment="1">
      <alignment horizontal="center" vertical="center"/>
    </xf>
    <xf numFmtId="0" fontId="2" fillId="0" borderId="13" xfId="6" applyBorder="1" applyAlignment="1">
      <alignment horizontal="center" vertical="center"/>
    </xf>
    <xf numFmtId="3" fontId="28" fillId="0" borderId="13" xfId="6" applyNumberFormat="1" applyFont="1" applyBorder="1" applyAlignment="1">
      <alignment horizontal="center" vertical="center"/>
    </xf>
    <xf numFmtId="0" fontId="28" fillId="0" borderId="15" xfId="6" applyFont="1" applyBorder="1" applyAlignment="1">
      <alignment horizontal="centerContinuous" vertical="center"/>
    </xf>
    <xf numFmtId="3" fontId="28" fillId="0" borderId="15" xfId="6" applyNumberFormat="1" applyFont="1" applyBorder="1" applyAlignment="1">
      <alignment horizontal="center" vertical="center"/>
    </xf>
    <xf numFmtId="3" fontId="28" fillId="0" borderId="14" xfId="6" applyNumberFormat="1" applyFont="1" applyBorder="1" applyAlignment="1">
      <alignment horizontal="center" vertical="center"/>
    </xf>
    <xf numFmtId="0" fontId="31" fillId="0" borderId="0" xfId="6" applyFont="1" applyAlignment="1">
      <alignment horizontal="center" vertical="center"/>
    </xf>
    <xf numFmtId="0" fontId="5" fillId="0" borderId="0" xfId="6" applyFont="1" applyAlignment="1">
      <alignment horizontal="center" vertical="center"/>
    </xf>
    <xf numFmtId="0" fontId="10" fillId="0" borderId="5" xfId="6" applyFont="1" applyBorder="1" applyAlignment="1">
      <alignment horizontal="center" vertical="center"/>
    </xf>
    <xf numFmtId="0" fontId="10" fillId="0" borderId="3" xfId="6" applyFont="1" applyBorder="1" applyAlignment="1">
      <alignment horizontal="center" vertical="center" wrapText="1"/>
    </xf>
    <xf numFmtId="0" fontId="6" fillId="0" borderId="3" xfId="6" applyFont="1" applyBorder="1" applyAlignment="1">
      <alignment horizontal="center" vertical="center"/>
    </xf>
    <xf numFmtId="0" fontId="9" fillId="0" borderId="9" xfId="6" applyFont="1" applyBorder="1" applyAlignment="1">
      <alignment horizontal="center" vertical="center"/>
    </xf>
    <xf numFmtId="0" fontId="10" fillId="0" borderId="6" xfId="6" applyFont="1" applyBorder="1" applyAlignment="1">
      <alignment horizontal="center" vertical="center"/>
    </xf>
    <xf numFmtId="0" fontId="2" fillId="0" borderId="6" xfId="6" applyBorder="1" applyAlignment="1">
      <alignment horizontal="center" vertical="center"/>
    </xf>
    <xf numFmtId="0" fontId="9" fillId="0" borderId="6" xfId="6" applyFont="1" applyBorder="1" applyAlignment="1">
      <alignment horizontal="center" vertical="center"/>
    </xf>
    <xf numFmtId="0" fontId="9" fillId="0" borderId="6" xfId="6" applyFont="1" applyBorder="1" applyAlignment="1">
      <alignment horizontal="left" vertical="center"/>
    </xf>
    <xf numFmtId="0" fontId="28" fillId="0" borderId="13" xfId="6" applyFont="1" applyBorder="1" applyAlignment="1">
      <alignment horizontal="center" vertical="center"/>
    </xf>
    <xf numFmtId="0" fontId="9" fillId="0" borderId="3" xfId="6" applyFont="1" applyBorder="1" applyAlignment="1">
      <alignment horizontal="center" vertical="center"/>
    </xf>
    <xf numFmtId="0" fontId="22" fillId="5" borderId="0" xfId="6" applyFont="1" applyFill="1" applyAlignment="1">
      <alignment horizontal="centerContinuous" vertical="center"/>
    </xf>
    <xf numFmtId="0" fontId="31" fillId="5" borderId="0" xfId="6" applyFont="1" applyFill="1" applyAlignment="1">
      <alignment horizontal="centerContinuous" vertical="center"/>
    </xf>
    <xf numFmtId="0" fontId="22" fillId="0" borderId="0" xfId="6" applyFont="1" applyAlignment="1">
      <alignment horizontal="centerContinuous" vertical="center"/>
    </xf>
    <xf numFmtId="0" fontId="11" fillId="0" borderId="0" xfId="6" applyFont="1" applyAlignment="1">
      <alignment horizontal="center" vertical="center"/>
    </xf>
    <xf numFmtId="0" fontId="31" fillId="0" borderId="0" xfId="6" applyFont="1" applyAlignment="1">
      <alignment horizontal="centerContinuous"/>
    </xf>
    <xf numFmtId="0" fontId="11" fillId="0" borderId="0" xfId="6" applyFont="1" applyAlignment="1">
      <alignment horizontal="centerContinuous"/>
    </xf>
    <xf numFmtId="0" fontId="31" fillId="0" borderId="0" xfId="6" applyFont="1"/>
    <xf numFmtId="0" fontId="11" fillId="0" borderId="0" xfId="6" applyFont="1" applyAlignment="1"/>
    <xf numFmtId="0" fontId="2" fillId="0" borderId="7" xfId="6" applyBorder="1"/>
    <xf numFmtId="0" fontId="64" fillId="0" borderId="0" xfId="0" applyFont="1" applyAlignment="1">
      <alignment horizontal="centerContinuous"/>
    </xf>
    <xf numFmtId="0" fontId="65" fillId="0" borderId="0" xfId="0" applyFont="1" applyAlignment="1"/>
    <xf numFmtId="0" fontId="66" fillId="0" borderId="0" xfId="0" applyFont="1" applyAlignment="1">
      <alignment horizontal="centerContinuous"/>
    </xf>
    <xf numFmtId="0" fontId="3" fillId="0" borderId="0" xfId="0" applyFont="1" applyAlignment="1">
      <alignment horizontal="centerContinuous" vertical="center"/>
    </xf>
    <xf numFmtId="0" fontId="3" fillId="0" borderId="0" xfId="0" applyFont="1" applyAlignment="1">
      <alignment horizontal="left" vertical="center"/>
    </xf>
    <xf numFmtId="0" fontId="2" fillId="0" borderId="0" xfId="0" applyFont="1"/>
    <xf numFmtId="0" fontId="2" fillId="0" borderId="0" xfId="0" applyFont="1" applyAlignment="1">
      <alignment vertical="center"/>
    </xf>
    <xf numFmtId="0" fontId="2" fillId="0" borderId="0" xfId="0" applyFont="1" applyAlignment="1">
      <alignment horizontal="left" vertical="center"/>
    </xf>
    <xf numFmtId="0" fontId="1" fillId="0" borderId="0" xfId="0" applyFont="1" applyAlignment="1">
      <alignment vertical="center" wrapText="1"/>
    </xf>
    <xf numFmtId="0" fontId="2" fillId="0" borderId="0" xfId="0" applyFont="1" applyAlignment="1">
      <alignment horizontal="left" vertical="center" wrapText="1"/>
    </xf>
    <xf numFmtId="0" fontId="1" fillId="0" borderId="0" xfId="0" applyFont="1" applyAlignment="1">
      <alignment vertical="center"/>
    </xf>
    <xf numFmtId="0" fontId="1" fillId="0" borderId="0" xfId="0" applyFont="1" applyAlignment="1">
      <alignment horizontal="left" vertical="center"/>
    </xf>
    <xf numFmtId="0" fontId="1" fillId="0" borderId="0" xfId="0" applyFont="1" applyAlignment="1">
      <alignment horizontal="left" vertical="center" wrapText="1"/>
    </xf>
    <xf numFmtId="0" fontId="4" fillId="0" borderId="0" xfId="0" applyFont="1" applyAlignment="1">
      <alignment horizontal="centerContinuous" vertical="center"/>
    </xf>
    <xf numFmtId="0" fontId="5" fillId="0" borderId="0" xfId="0" applyFont="1" applyAlignment="1">
      <alignment horizontal="centerContinuous" vertical="center"/>
    </xf>
    <xf numFmtId="0" fontId="1" fillId="2" borderId="0" xfId="0" applyFont="1" applyFill="1" applyAlignment="1">
      <alignment vertical="center"/>
    </xf>
    <xf numFmtId="0" fontId="0" fillId="2" borderId="0" xfId="0" applyFill="1" applyAlignment="1">
      <alignment horizontal="right" vertical="center"/>
    </xf>
    <xf numFmtId="0" fontId="0" fillId="0" borderId="0" xfId="0" applyAlignment="1">
      <alignment horizontal="right" vertical="top"/>
    </xf>
    <xf numFmtId="0" fontId="0" fillId="0" borderId="0" xfId="0" applyAlignment="1">
      <alignment vertical="center" wrapText="1"/>
    </xf>
    <xf numFmtId="0" fontId="0" fillId="0" borderId="0" xfId="0" quotePrefix="1" applyAlignment="1">
      <alignment horizontal="centerContinuous"/>
    </xf>
    <xf numFmtId="1" fontId="2" fillId="0" borderId="6" xfId="4" applyNumberFormat="1" applyBorder="1" applyAlignment="1">
      <alignment horizontal="center" vertical="center"/>
    </xf>
    <xf numFmtId="0" fontId="19" fillId="0" borderId="13" xfId="0" applyFont="1" applyBorder="1" applyAlignment="1">
      <alignment vertical="center"/>
    </xf>
    <xf numFmtId="0" fontId="19" fillId="0" borderId="8" xfId="0" applyFont="1" applyBorder="1" applyAlignment="1">
      <alignment horizontal="center" vertical="center"/>
    </xf>
    <xf numFmtId="3" fontId="9" fillId="0" borderId="0" xfId="0" applyNumberFormat="1" applyFont="1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67" fillId="0" borderId="20" xfId="0" applyNumberFormat="1" applyFont="1" applyFill="1" applyBorder="1" applyAlignment="1" applyProtection="1">
      <alignment horizontal="left" vertical="center"/>
    </xf>
    <xf numFmtId="0" fontId="67" fillId="0" borderId="20" xfId="0" applyNumberFormat="1" applyFont="1" applyFill="1" applyBorder="1" applyAlignment="1" applyProtection="1">
      <alignment vertical="center"/>
    </xf>
    <xf numFmtId="3" fontId="6" fillId="0" borderId="5" xfId="0" applyNumberFormat="1" applyFont="1" applyBorder="1" applyAlignment="1">
      <alignment horizontal="left" vertical="center"/>
    </xf>
    <xf numFmtId="3" fontId="6" fillId="0" borderId="6" xfId="0" applyNumberFormat="1" applyFont="1" applyBorder="1" applyAlignment="1">
      <alignment horizontal="left" vertical="center"/>
    </xf>
    <xf numFmtId="3" fontId="6" fillId="0" borderId="3" xfId="0" applyNumberFormat="1" applyFont="1" applyBorder="1" applyAlignment="1">
      <alignment horizontal="left" vertical="center"/>
    </xf>
    <xf numFmtId="0" fontId="68" fillId="0" borderId="17" xfId="0" applyNumberFormat="1" applyFont="1" applyFill="1" applyBorder="1" applyAlignment="1" applyProtection="1">
      <alignment vertical="center"/>
    </xf>
    <xf numFmtId="165" fontId="28" fillId="0" borderId="0" xfId="3" applyNumberFormat="1" applyFont="1" applyBorder="1" applyAlignment="1">
      <alignment horizontal="center" vertical="center"/>
    </xf>
    <xf numFmtId="3" fontId="68" fillId="0" borderId="0" xfId="0" applyNumberFormat="1" applyFont="1" applyFill="1" applyBorder="1" applyAlignment="1" applyProtection="1">
      <alignment horizontal="center" vertical="center"/>
    </xf>
    <xf numFmtId="3" fontId="19" fillId="0" borderId="0" xfId="0" applyNumberFormat="1" applyFont="1" applyAlignment="1">
      <alignment horizontal="center"/>
    </xf>
    <xf numFmtId="3" fontId="28" fillId="0" borderId="0" xfId="3" applyNumberFormat="1" applyFont="1"/>
    <xf numFmtId="0" fontId="47" fillId="0" borderId="7" xfId="0" applyFont="1" applyBorder="1" applyAlignment="1">
      <alignment vertical="center" wrapText="1"/>
    </xf>
    <xf numFmtId="3" fontId="9" fillId="0" borderId="0" xfId="0" applyNumberFormat="1" applyFont="1" applyFill="1" applyBorder="1" applyAlignment="1">
      <alignment horizontal="center" vertical="center"/>
    </xf>
    <xf numFmtId="0" fontId="0" fillId="0" borderId="0" xfId="0" applyAlignment="1">
      <alignment horizontal="left"/>
    </xf>
    <xf numFmtId="3" fontId="36" fillId="0" borderId="0" xfId="0" applyNumberFormat="1" applyFont="1" applyBorder="1" applyAlignment="1">
      <alignment vertical="center"/>
    </xf>
    <xf numFmtId="3" fontId="36" fillId="0" borderId="13" xfId="0" applyNumberFormat="1" applyFont="1" applyBorder="1" applyAlignment="1">
      <alignment vertical="center"/>
    </xf>
    <xf numFmtId="3" fontId="6" fillId="0" borderId="0" xfId="0" applyNumberFormat="1" applyFont="1" applyBorder="1" applyAlignment="1">
      <alignment vertical="center"/>
    </xf>
    <xf numFmtId="3" fontId="6" fillId="0" borderId="7" xfId="0" applyNumberFormat="1" applyFont="1" applyBorder="1" applyAlignment="1">
      <alignment vertical="center"/>
    </xf>
    <xf numFmtId="0" fontId="28" fillId="0" borderId="0" xfId="3" applyNumberFormat="1" applyFont="1" applyAlignment="1">
      <alignment horizontal="center"/>
    </xf>
    <xf numFmtId="0" fontId="9" fillId="0" borderId="14" xfId="0" applyFont="1" applyBorder="1" applyAlignment="1">
      <alignment horizontal="left"/>
    </xf>
    <xf numFmtId="0" fontId="71" fillId="0" borderId="0" xfId="6" applyFont="1" applyAlignment="1">
      <alignment horizontal="center" vertical="center"/>
    </xf>
    <xf numFmtId="0" fontId="15" fillId="0" borderId="9" xfId="0" applyFont="1" applyBorder="1" applyAlignment="1">
      <alignment vertical="center" wrapText="1"/>
    </xf>
    <xf numFmtId="3" fontId="28" fillId="0" borderId="1" xfId="0" applyNumberFormat="1" applyFont="1" applyBorder="1" applyAlignment="1">
      <alignment horizontal="center" vertical="center" wrapText="1"/>
    </xf>
    <xf numFmtId="0" fontId="19" fillId="0" borderId="7" xfId="0" applyFont="1" applyBorder="1" applyAlignment="1">
      <alignment vertical="center" wrapText="1"/>
    </xf>
    <xf numFmtId="0" fontId="71" fillId="0" borderId="0" xfId="0" applyFont="1" applyAlignment="1">
      <alignment vertical="center"/>
    </xf>
    <xf numFmtId="0" fontId="14" fillId="0" borderId="15" xfId="0" applyFont="1" applyBorder="1" applyAlignment="1">
      <alignment horizontal="center" vertical="center"/>
    </xf>
    <xf numFmtId="3" fontId="0" fillId="0" borderId="27" xfId="0" applyNumberFormat="1" applyBorder="1" applyAlignment="1">
      <alignment horizontal="center" vertical="center"/>
    </xf>
    <xf numFmtId="2" fontId="0" fillId="0" borderId="28" xfId="0" applyNumberFormat="1" applyBorder="1" applyAlignment="1">
      <alignment horizontal="center" vertical="center"/>
    </xf>
    <xf numFmtId="3" fontId="0" fillId="0" borderId="29" xfId="0" applyNumberFormat="1" applyBorder="1" applyAlignment="1">
      <alignment horizontal="center" vertical="center"/>
    </xf>
    <xf numFmtId="3" fontId="0" fillId="0" borderId="30" xfId="0" applyNumberFormat="1" applyBorder="1" applyAlignment="1">
      <alignment horizontal="center" vertical="center"/>
    </xf>
    <xf numFmtId="2" fontId="0" fillId="0" borderId="31" xfId="0" applyNumberFormat="1" applyBorder="1" applyAlignment="1">
      <alignment horizontal="center" vertical="center"/>
    </xf>
    <xf numFmtId="3" fontId="9" fillId="0" borderId="32" xfId="0" applyNumberFormat="1" applyFont="1" applyBorder="1" applyAlignment="1">
      <alignment horizontal="center" vertical="center"/>
    </xf>
    <xf numFmtId="3" fontId="9" fillId="0" borderId="33" xfId="0" applyNumberFormat="1" applyFont="1" applyBorder="1" applyAlignment="1">
      <alignment horizontal="center" vertical="center" wrapText="1"/>
    </xf>
    <xf numFmtId="3" fontId="9" fillId="0" borderId="34" xfId="0" applyNumberFormat="1" applyFont="1" applyBorder="1" applyAlignment="1">
      <alignment horizontal="center" vertical="center" wrapText="1"/>
    </xf>
    <xf numFmtId="0" fontId="0" fillId="0" borderId="35" xfId="0" applyBorder="1"/>
    <xf numFmtId="3" fontId="9" fillId="0" borderId="33" xfId="0" applyNumberFormat="1" applyFont="1" applyBorder="1" applyAlignment="1">
      <alignment horizontal="center" vertical="center"/>
    </xf>
    <xf numFmtId="0" fontId="19" fillId="0" borderId="36" xfId="0" applyFont="1" applyBorder="1" applyAlignment="1">
      <alignment vertical="top"/>
    </xf>
    <xf numFmtId="173" fontId="0" fillId="0" borderId="0" xfId="0" applyNumberFormat="1" applyAlignment="1">
      <alignment vertical="center"/>
    </xf>
    <xf numFmtId="3" fontId="0" fillId="0" borderId="37" xfId="0" applyNumberFormat="1" applyBorder="1" applyAlignment="1">
      <alignment horizontal="center" vertical="center"/>
    </xf>
    <xf numFmtId="3" fontId="0" fillId="0" borderId="38" xfId="0" applyNumberFormat="1" applyBorder="1" applyAlignment="1">
      <alignment horizontal="center" vertical="center"/>
    </xf>
    <xf numFmtId="2" fontId="0" fillId="0" borderId="39" xfId="0" applyNumberFormat="1" applyBorder="1" applyAlignment="1">
      <alignment horizontal="center" vertical="center"/>
    </xf>
    <xf numFmtId="0" fontId="14" fillId="0" borderId="0" xfId="0" applyFont="1" applyBorder="1" applyAlignment="1">
      <alignment horizontal="center" vertical="center"/>
    </xf>
    <xf numFmtId="2" fontId="0" fillId="0" borderId="0" xfId="0" applyNumberFormat="1" applyBorder="1" applyAlignment="1">
      <alignment horizontal="center" vertical="center"/>
    </xf>
    <xf numFmtId="0" fontId="14" fillId="0" borderId="0" xfId="0" applyFont="1" applyBorder="1" applyAlignment="1">
      <alignment horizontal="left" vertical="center"/>
    </xf>
    <xf numFmtId="3" fontId="71" fillId="0" borderId="15" xfId="3" applyNumberFormat="1" applyFont="1" applyBorder="1" applyAlignment="1" applyProtection="1">
      <alignment horizontal="center" vertical="center"/>
      <protection locked="0"/>
    </xf>
    <xf numFmtId="3" fontId="71" fillId="0" borderId="3" xfId="3" applyNumberFormat="1" applyFont="1" applyBorder="1" applyAlignment="1" applyProtection="1">
      <alignment horizontal="center" vertical="center"/>
      <protection locked="0"/>
    </xf>
    <xf numFmtId="3" fontId="71" fillId="0" borderId="15" xfId="3" applyNumberFormat="1" applyFont="1" applyBorder="1" applyAlignment="1" applyProtection="1">
      <alignment horizontal="center" vertical="center"/>
    </xf>
    <xf numFmtId="3" fontId="2" fillId="0" borderId="0" xfId="6" applyNumberFormat="1" applyAlignment="1">
      <alignment horizontal="center" vertical="center"/>
    </xf>
    <xf numFmtId="0" fontId="15" fillId="0" borderId="0" xfId="0" applyFont="1" applyAlignment="1">
      <alignment vertical="center" wrapText="1"/>
    </xf>
    <xf numFmtId="4" fontId="28" fillId="0" borderId="13" xfId="0" applyNumberFormat="1" applyFont="1" applyBorder="1" applyAlignment="1">
      <alignment horizontal="centerContinuous" vertical="center"/>
    </xf>
    <xf numFmtId="4" fontId="28" fillId="0" borderId="2" xfId="0" applyNumberFormat="1" applyFont="1" applyBorder="1" applyAlignment="1">
      <alignment horizontal="centerContinuous" vertical="center"/>
    </xf>
    <xf numFmtId="0" fontId="0" fillId="0" borderId="15" xfId="0" applyBorder="1" applyAlignment="1">
      <alignment horizontal="centerContinuous"/>
    </xf>
    <xf numFmtId="165" fontId="9" fillId="0" borderId="14" xfId="0" applyNumberFormat="1" applyFont="1" applyBorder="1" applyAlignment="1">
      <alignment horizontal="center" vertical="center"/>
    </xf>
    <xf numFmtId="3" fontId="6" fillId="0" borderId="15" xfId="0" applyNumberFormat="1" applyFont="1" applyBorder="1" applyAlignment="1">
      <alignment horizontal="center"/>
    </xf>
    <xf numFmtId="3" fontId="6" fillId="0" borderId="7" xfId="0" applyNumberFormat="1" applyFont="1" applyBorder="1" applyAlignment="1">
      <alignment horizontal="center"/>
    </xf>
    <xf numFmtId="0" fontId="2" fillId="0" borderId="6" xfId="0" applyFont="1" applyBorder="1" applyAlignment="1">
      <alignment horizontal="left" vertical="center"/>
    </xf>
    <xf numFmtId="0" fontId="2" fillId="0" borderId="0" xfId="6" applyFont="1" applyBorder="1" applyAlignment="1">
      <alignment horizontal="center" vertical="center"/>
    </xf>
    <xf numFmtId="0" fontId="28" fillId="0" borderId="4" xfId="0" applyFont="1" applyBorder="1" applyAlignment="1">
      <alignment horizontal="center" vertical="center" wrapText="1"/>
    </xf>
    <xf numFmtId="3" fontId="16" fillId="7" borderId="1" xfId="0" applyNumberFormat="1" applyFont="1" applyFill="1" applyBorder="1" applyAlignment="1">
      <alignment horizontal="center" vertical="center" wrapText="1"/>
    </xf>
    <xf numFmtId="3" fontId="35" fillId="0" borderId="0" xfId="0" applyNumberFormat="1" applyFont="1" applyAlignment="1">
      <alignment vertical="center"/>
    </xf>
    <xf numFmtId="3" fontId="31" fillId="0" borderId="13" xfId="0" applyNumberFormat="1" applyFont="1" applyBorder="1" applyAlignment="1">
      <alignment horizontal="center" vertical="center"/>
    </xf>
    <xf numFmtId="0" fontId="6" fillId="0" borderId="0" xfId="0" applyFont="1" applyFill="1" applyBorder="1" applyAlignment="1">
      <alignment horizontal="centerContinuous" vertical="center"/>
    </xf>
    <xf numFmtId="4" fontId="6" fillId="0" borderId="1" xfId="0" applyNumberFormat="1" applyFont="1" applyBorder="1" applyAlignment="1">
      <alignment horizontal="center" vertical="center"/>
    </xf>
    <xf numFmtId="0" fontId="45" fillId="0" borderId="21" xfId="8" applyNumberFormat="1" applyFont="1" applyFill="1" applyBorder="1" applyAlignment="1" applyProtection="1">
      <alignment horizontal="left" vertical="center" wrapText="1"/>
    </xf>
    <xf numFmtId="0" fontId="45" fillId="0" borderId="20" xfId="8" applyNumberFormat="1" applyFont="1" applyFill="1" applyBorder="1" applyAlignment="1" applyProtection="1">
      <alignment horizontal="left" vertical="center" wrapText="1"/>
    </xf>
    <xf numFmtId="0" fontId="45" fillId="0" borderId="40" xfId="8" applyNumberFormat="1" applyFont="1" applyFill="1" applyBorder="1" applyAlignment="1" applyProtection="1">
      <alignment horizontal="left" vertical="center" wrapText="1"/>
    </xf>
    <xf numFmtId="0" fontId="45" fillId="0" borderId="22" xfId="8" applyNumberFormat="1" applyFont="1" applyFill="1" applyBorder="1" applyAlignment="1" applyProtection="1">
      <alignment horizontal="left" vertical="center" wrapText="1"/>
    </xf>
    <xf numFmtId="3" fontId="45" fillId="0" borderId="10" xfId="0" applyNumberFormat="1" applyFont="1" applyFill="1" applyBorder="1" applyAlignment="1" applyProtection="1">
      <alignment horizontal="center" vertical="center"/>
    </xf>
    <xf numFmtId="3" fontId="69" fillId="0" borderId="0" xfId="0" applyNumberFormat="1" applyFont="1" applyFill="1" applyBorder="1" applyAlignment="1" applyProtection="1">
      <alignment vertical="center"/>
    </xf>
    <xf numFmtId="174" fontId="70" fillId="6" borderId="19" xfId="1" applyNumberFormat="1" applyFont="1" applyFill="1" applyBorder="1" applyAlignment="1">
      <alignment horizontal="left" vertical="center" wrapText="1"/>
    </xf>
    <xf numFmtId="0" fontId="9" fillId="0" borderId="41" xfId="0" applyFont="1" applyBorder="1" applyAlignment="1">
      <alignment vertical="center"/>
    </xf>
    <xf numFmtId="0" fontId="9" fillId="0" borderId="42" xfId="0" applyFont="1" applyBorder="1" applyAlignment="1">
      <alignment vertical="center"/>
    </xf>
    <xf numFmtId="3" fontId="28" fillId="0" borderId="42" xfId="0" applyNumberFormat="1" applyFont="1" applyBorder="1" applyAlignment="1">
      <alignment horizontal="center" vertical="center"/>
    </xf>
    <xf numFmtId="3" fontId="28" fillId="0" borderId="41" xfId="0" applyNumberFormat="1" applyFont="1" applyBorder="1" applyAlignment="1">
      <alignment horizontal="center" vertical="center"/>
    </xf>
    <xf numFmtId="3" fontId="28" fillId="0" borderId="43" xfId="0" applyNumberFormat="1" applyFont="1" applyBorder="1" applyAlignment="1">
      <alignment horizontal="center" vertical="center"/>
    </xf>
    <xf numFmtId="0" fontId="72" fillId="0" borderId="7" xfId="0" applyFont="1" applyBorder="1" applyAlignment="1">
      <alignment vertical="center"/>
    </xf>
    <xf numFmtId="0" fontId="1" fillId="0" borderId="0" xfId="6" applyFont="1" applyBorder="1" applyAlignment="1">
      <alignment horizontal="center" vertical="center"/>
    </xf>
    <xf numFmtId="3" fontId="2" fillId="0" borderId="0" xfId="6" applyNumberFormat="1" applyFont="1" applyBorder="1" applyAlignment="1">
      <alignment horizontal="centerContinuous" vertical="center"/>
    </xf>
    <xf numFmtId="3" fontId="73" fillId="0" borderId="0" xfId="6" applyNumberFormat="1" applyFont="1" applyBorder="1" applyAlignment="1">
      <alignment horizontal="centerContinuous" vertical="center"/>
    </xf>
    <xf numFmtId="0" fontId="0" fillId="0" borderId="0" xfId="0" applyBorder="1" applyAlignment="1">
      <alignment horizontal="center"/>
    </xf>
    <xf numFmtId="0" fontId="22" fillId="0" borderId="0" xfId="0" applyFont="1" applyAlignment="1">
      <alignment horizontal="center"/>
    </xf>
    <xf numFmtId="0" fontId="6" fillId="0" borderId="0" xfId="0" applyFont="1" applyBorder="1" applyAlignment="1">
      <alignment horizontal="left" vertical="center"/>
    </xf>
    <xf numFmtId="0" fontId="6" fillId="0" borderId="1" xfId="0" applyFont="1" applyBorder="1" applyAlignment="1">
      <alignment horizontal="left" vertical="center"/>
    </xf>
    <xf numFmtId="3" fontId="6" fillId="0" borderId="1" xfId="0" applyNumberFormat="1" applyFont="1" applyBorder="1" applyAlignment="1">
      <alignment horizontal="center" vertical="center"/>
    </xf>
    <xf numFmtId="0" fontId="6" fillId="0" borderId="1" xfId="0" applyFont="1" applyBorder="1" applyAlignment="1">
      <alignment horizontal="centerContinuous" vertical="center" wrapText="1"/>
    </xf>
    <xf numFmtId="0" fontId="9" fillId="0" borderId="0" xfId="0" applyFont="1" applyBorder="1" applyAlignment="1">
      <alignment horizontal="centerContinuous" vertical="center" wrapText="1"/>
    </xf>
    <xf numFmtId="0" fontId="9" fillId="0" borderId="5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 wrapText="1"/>
    </xf>
    <xf numFmtId="0" fontId="6" fillId="0" borderId="0" xfId="0" applyFont="1" applyBorder="1" applyAlignment="1">
      <alignment horizontal="center" vertical="center" wrapText="1"/>
    </xf>
    <xf numFmtId="4" fontId="6" fillId="0" borderId="0" xfId="0" applyNumberFormat="1" applyFont="1" applyBorder="1" applyAlignment="1">
      <alignment horizontal="center" vertical="center"/>
    </xf>
    <xf numFmtId="165" fontId="6" fillId="0" borderId="0" xfId="0" applyNumberFormat="1" applyFont="1" applyBorder="1" applyAlignment="1">
      <alignment horizontal="center" vertical="center"/>
    </xf>
    <xf numFmtId="165" fontId="7" fillId="0" borderId="0" xfId="0" applyNumberFormat="1" applyFont="1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74" fillId="0" borderId="0" xfId="0" applyFont="1"/>
    <xf numFmtId="0" fontId="39" fillId="0" borderId="11" xfId="0" applyFont="1" applyBorder="1" applyAlignment="1">
      <alignment horizontal="center" vertical="center"/>
    </xf>
    <xf numFmtId="0" fontId="39" fillId="0" borderId="12" xfId="0" applyFont="1" applyBorder="1" applyAlignment="1">
      <alignment horizontal="center" vertical="center"/>
    </xf>
    <xf numFmtId="0" fontId="39" fillId="0" borderId="2" xfId="0" applyFont="1" applyBorder="1" applyAlignment="1">
      <alignment horizontal="center" vertical="center"/>
    </xf>
    <xf numFmtId="0" fontId="39" fillId="0" borderId="8" xfId="0" applyFont="1" applyBorder="1" applyAlignment="1">
      <alignment horizontal="center" vertical="center"/>
    </xf>
    <xf numFmtId="0" fontId="39" fillId="0" borderId="4" xfId="0" applyFont="1" applyBorder="1" applyAlignment="1">
      <alignment horizontal="center" vertical="center"/>
    </xf>
    <xf numFmtId="3" fontId="19" fillId="0" borderId="1" xfId="0" applyNumberFormat="1" applyFont="1" applyBorder="1" applyAlignment="1">
      <alignment horizontal="center" vertical="center"/>
    </xf>
    <xf numFmtId="0" fontId="0" fillId="0" borderId="11" xfId="0" applyBorder="1" applyAlignment="1">
      <alignment horizontal="right"/>
    </xf>
    <xf numFmtId="3" fontId="39" fillId="0" borderId="2" xfId="0" applyNumberFormat="1" applyFont="1" applyBorder="1" applyAlignment="1">
      <alignment horizontal="right" vertical="center"/>
    </xf>
    <xf numFmtId="0" fontId="0" fillId="0" borderId="7" xfId="0" applyBorder="1" applyAlignment="1">
      <alignment horizontal="right"/>
    </xf>
    <xf numFmtId="3" fontId="39" fillId="0" borderId="13" xfId="0" applyNumberFormat="1" applyFont="1" applyBorder="1" applyAlignment="1">
      <alignment horizontal="right" vertical="center"/>
    </xf>
    <xf numFmtId="0" fontId="45" fillId="0" borderId="20" xfId="0" applyNumberFormat="1" applyFont="1" applyFill="1" applyBorder="1" applyAlignment="1" applyProtection="1">
      <alignment vertical="center"/>
    </xf>
    <xf numFmtId="3" fontId="10" fillId="0" borderId="3" xfId="0" applyNumberFormat="1" applyFont="1" applyBorder="1" applyAlignment="1">
      <alignment horizontal="center" vertical="center" wrapText="1"/>
    </xf>
    <xf numFmtId="0" fontId="39" fillId="0" borderId="4" xfId="0" applyFont="1" applyBorder="1" applyAlignment="1">
      <alignment horizontal="center" vertical="center"/>
    </xf>
    <xf numFmtId="0" fontId="9" fillId="0" borderId="13" xfId="0" applyFont="1" applyBorder="1" applyAlignment="1">
      <alignment horizontal="center"/>
    </xf>
    <xf numFmtId="3" fontId="71" fillId="0" borderId="0" xfId="0" applyNumberFormat="1" applyFont="1" applyBorder="1" applyAlignment="1">
      <alignment vertical="center"/>
    </xf>
    <xf numFmtId="3" fontId="71" fillId="0" borderId="13" xfId="0" applyNumberFormat="1" applyFont="1" applyBorder="1" applyAlignment="1">
      <alignment vertical="center"/>
    </xf>
    <xf numFmtId="3" fontId="2" fillId="0" borderId="5" xfId="0" applyNumberFormat="1" applyFont="1" applyBorder="1" applyAlignment="1">
      <alignment horizontal="center" vertical="center"/>
    </xf>
    <xf numFmtId="3" fontId="2" fillId="0" borderId="6" xfId="0" applyNumberFormat="1" applyFont="1" applyBorder="1" applyAlignment="1">
      <alignment horizontal="center" vertical="center"/>
    </xf>
    <xf numFmtId="0" fontId="39" fillId="0" borderId="13" xfId="0" applyFont="1" applyBorder="1" applyAlignment="1">
      <alignment horizontal="center"/>
    </xf>
    <xf numFmtId="0" fontId="2" fillId="0" borderId="6" xfId="3" applyNumberFormat="1" applyFont="1" applyBorder="1" applyAlignment="1" applyProtection="1">
      <alignment horizontal="left" vertical="center"/>
    </xf>
    <xf numFmtId="3" fontId="28" fillId="0" borderId="13" xfId="3" applyNumberFormat="1" applyFont="1" applyBorder="1" applyAlignment="1" applyProtection="1">
      <alignment horizontal="center" vertical="center"/>
    </xf>
    <xf numFmtId="0" fontId="6" fillId="0" borderId="7" xfId="0" applyFont="1" applyFill="1" applyBorder="1" applyAlignment="1">
      <alignment horizontal="left" vertical="center"/>
    </xf>
    <xf numFmtId="0" fontId="14" fillId="0" borderId="0" xfId="0" applyFont="1" applyAlignment="1">
      <alignment horizontal="center" vertical="center"/>
    </xf>
    <xf numFmtId="3" fontId="28" fillId="0" borderId="2" xfId="3" applyNumberFormat="1" applyFont="1" applyBorder="1" applyAlignment="1" applyProtection="1">
      <alignment horizontal="centerContinuous" vertical="center"/>
    </xf>
    <xf numFmtId="0" fontId="2" fillId="0" borderId="6" xfId="3" applyNumberFormat="1" applyFont="1" applyBorder="1" applyAlignment="1" applyProtection="1">
      <alignment horizontal="center" vertical="center"/>
    </xf>
    <xf numFmtId="0" fontId="28" fillId="0" borderId="5" xfId="3" applyNumberFormat="1" applyFont="1" applyBorder="1" applyAlignment="1">
      <alignment horizontal="center" vertical="center"/>
    </xf>
    <xf numFmtId="0" fontId="28" fillId="0" borderId="5" xfId="3" applyNumberFormat="1" applyFont="1" applyBorder="1" applyAlignment="1" applyProtection="1">
      <alignment horizontal="center" vertical="center"/>
    </xf>
    <xf numFmtId="0" fontId="28" fillId="0" borderId="3" xfId="3" applyNumberFormat="1" applyFont="1" applyBorder="1" applyAlignment="1" applyProtection="1">
      <alignment horizontal="center" vertical="center"/>
    </xf>
    <xf numFmtId="3" fontId="0" fillId="0" borderId="1" xfId="0" applyNumberFormat="1" applyBorder="1" applyAlignment="1">
      <alignment horizontal="center"/>
    </xf>
    <xf numFmtId="3" fontId="0" fillId="0" borderId="4" xfId="0" applyNumberFormat="1" applyBorder="1"/>
    <xf numFmtId="3" fontId="0" fillId="0" borderId="8" xfId="0" applyNumberFormat="1" applyBorder="1"/>
    <xf numFmtId="0" fontId="2" fillId="0" borderId="0" xfId="4" applyBorder="1" applyAlignment="1">
      <alignment vertical="center"/>
    </xf>
    <xf numFmtId="165" fontId="2" fillId="0" borderId="0" xfId="3" applyNumberFormat="1" applyFont="1" applyBorder="1" applyAlignment="1">
      <alignment horizontal="centerContinuous" vertical="center"/>
    </xf>
    <xf numFmtId="0" fontId="49" fillId="6" borderId="44" xfId="0" applyFont="1" applyFill="1" applyBorder="1" applyAlignment="1" applyProtection="1">
      <alignment horizontal="center" vertical="center"/>
    </xf>
    <xf numFmtId="0" fontId="50" fillId="6" borderId="40" xfId="0" applyFont="1" applyFill="1" applyBorder="1" applyAlignment="1" applyProtection="1">
      <alignment horizontal="left" vertical="center"/>
    </xf>
    <xf numFmtId="0" fontId="50" fillId="6" borderId="19" xfId="0" applyFont="1" applyFill="1" applyBorder="1" applyAlignment="1" applyProtection="1">
      <alignment horizontal="left" vertical="center" wrapText="1"/>
    </xf>
    <xf numFmtId="0" fontId="50" fillId="6" borderId="13" xfId="0" applyFont="1" applyFill="1" applyBorder="1" applyAlignment="1" applyProtection="1">
      <alignment horizontal="left" vertical="center"/>
    </xf>
    <xf numFmtId="3" fontId="9" fillId="0" borderId="0" xfId="0" applyNumberFormat="1" applyFont="1" applyAlignment="1">
      <alignment horizontal="center" vertical="center"/>
    </xf>
    <xf numFmtId="0" fontId="0" fillId="0" borderId="0" xfId="0" applyAlignment="1">
      <alignment horizontal="center"/>
    </xf>
    <xf numFmtId="0" fontId="74" fillId="0" borderId="0" xfId="0" applyFont="1" applyBorder="1" applyAlignment="1">
      <alignment horizontal="center" vertical="center"/>
    </xf>
    <xf numFmtId="3" fontId="75" fillId="0" borderId="0" xfId="0" applyNumberFormat="1" applyFont="1" applyAlignment="1">
      <alignment horizontal="center" vertical="center"/>
    </xf>
    <xf numFmtId="0" fontId="0" fillId="0" borderId="0" xfId="0" applyBorder="1" applyAlignment="1">
      <alignment horizontal="center"/>
    </xf>
    <xf numFmtId="0" fontId="0" fillId="0" borderId="0" xfId="0" applyAlignment="1">
      <alignment horizontal="center"/>
    </xf>
    <xf numFmtId="0" fontId="22" fillId="5" borderId="0" xfId="0" applyFont="1" applyFill="1" applyAlignment="1">
      <alignment horizontal="center"/>
    </xf>
    <xf numFmtId="0" fontId="4" fillId="0" borderId="0" xfId="0" applyFont="1" applyAlignment="1">
      <alignment horizontal="center"/>
    </xf>
    <xf numFmtId="0" fontId="18" fillId="0" borderId="0" xfId="0" applyFont="1" applyAlignment="1">
      <alignment horizontal="center"/>
    </xf>
    <xf numFmtId="0" fontId="22" fillId="0" borderId="0" xfId="0" applyFont="1" applyAlignment="1">
      <alignment horizontal="center"/>
    </xf>
    <xf numFmtId="0" fontId="29" fillId="0" borderId="0" xfId="0" applyFont="1" applyAlignment="1">
      <alignment horizontal="center"/>
    </xf>
    <xf numFmtId="0" fontId="19" fillId="0" borderId="9" xfId="0" applyFont="1" applyBorder="1" applyAlignment="1">
      <alignment horizontal="center"/>
    </xf>
    <xf numFmtId="0" fontId="19" fillId="0" borderId="4" xfId="0" applyFont="1" applyBorder="1" applyAlignment="1">
      <alignment horizontal="center"/>
    </xf>
    <xf numFmtId="17" fontId="22" fillId="0" borderId="0" xfId="0" quotePrefix="1" applyNumberFormat="1" applyFont="1" applyAlignment="1">
      <alignment horizontal="center"/>
    </xf>
    <xf numFmtId="0" fontId="39" fillId="0" borderId="11" xfId="0" applyFont="1" applyBorder="1" applyAlignment="1">
      <alignment horizontal="center" vertical="center"/>
    </xf>
    <xf numFmtId="0" fontId="39" fillId="0" borderId="12" xfId="0" applyFont="1" applyBorder="1" applyAlignment="1">
      <alignment horizontal="center" vertical="center"/>
    </xf>
    <xf numFmtId="0" fontId="39" fillId="0" borderId="2" xfId="0" applyFont="1" applyBorder="1" applyAlignment="1">
      <alignment horizontal="center" vertical="center"/>
    </xf>
    <xf numFmtId="0" fontId="39" fillId="0" borderId="12" xfId="0" applyFont="1" applyBorder="1" applyAlignment="1">
      <alignment horizontal="center" vertical="center" wrapText="1"/>
    </xf>
    <xf numFmtId="0" fontId="39" fillId="0" borderId="9" xfId="0" applyFont="1" applyBorder="1" applyAlignment="1">
      <alignment horizontal="center" vertical="center"/>
    </xf>
    <xf numFmtId="0" fontId="39" fillId="0" borderId="8" xfId="0" applyFont="1" applyBorder="1" applyAlignment="1">
      <alignment horizontal="center" vertical="center"/>
    </xf>
    <xf numFmtId="0" fontId="39" fillId="0" borderId="4" xfId="0" applyFont="1" applyBorder="1" applyAlignment="1">
      <alignment horizontal="center" vertical="center"/>
    </xf>
    <xf numFmtId="0" fontId="0" fillId="0" borderId="9" xfId="0" applyBorder="1" applyAlignment="1">
      <alignment horizontal="center"/>
    </xf>
    <xf numFmtId="0" fontId="0" fillId="0" borderId="8" xfId="0" applyBorder="1" applyAlignment="1">
      <alignment horizontal="center"/>
    </xf>
    <xf numFmtId="0" fontId="27" fillId="0" borderId="0" xfId="0" applyFont="1" applyAlignment="1">
      <alignment horizontal="center"/>
    </xf>
    <xf numFmtId="0" fontId="39" fillId="0" borderId="7" xfId="0" applyFont="1" applyBorder="1" applyAlignment="1">
      <alignment horizontal="center"/>
    </xf>
    <xf numFmtId="0" fontId="39" fillId="0" borderId="13" xfId="0" applyFont="1" applyBorder="1" applyAlignment="1">
      <alignment horizontal="center"/>
    </xf>
    <xf numFmtId="0" fontId="39" fillId="0" borderId="10" xfId="0" applyFont="1" applyBorder="1" applyAlignment="1">
      <alignment horizontal="center"/>
    </xf>
    <xf numFmtId="0" fontId="39" fillId="0" borderId="14" xfId="0" applyFont="1" applyBorder="1" applyAlignment="1">
      <alignment horizontal="center"/>
    </xf>
    <xf numFmtId="0" fontId="19" fillId="0" borderId="11" xfId="0" applyFont="1" applyBorder="1" applyAlignment="1">
      <alignment horizontal="center"/>
    </xf>
    <xf numFmtId="0" fontId="19" fillId="0" borderId="2" xfId="0" applyFont="1" applyBorder="1" applyAlignment="1">
      <alignment horizontal="center"/>
    </xf>
    <xf numFmtId="0" fontId="22" fillId="0" borderId="0" xfId="0" applyFont="1" applyAlignment="1">
      <alignment horizontal="center" wrapText="1"/>
    </xf>
    <xf numFmtId="0" fontId="28" fillId="0" borderId="0" xfId="0" applyFont="1" applyBorder="1" applyAlignment="1">
      <alignment horizontal="left" vertical="center" wrapText="1"/>
    </xf>
    <xf numFmtId="0" fontId="28" fillId="0" borderId="12" xfId="0" applyFont="1" applyBorder="1" applyAlignment="1">
      <alignment horizontal="left" vertical="center" wrapText="1"/>
    </xf>
    <xf numFmtId="0" fontId="43" fillId="0" borderId="10" xfId="0" applyFont="1" applyBorder="1" applyAlignment="1">
      <alignment horizontal="center" vertical="center"/>
    </xf>
    <xf numFmtId="0" fontId="43" fillId="0" borderId="15" xfId="0" applyFont="1" applyBorder="1" applyAlignment="1">
      <alignment horizontal="center" vertical="center"/>
    </xf>
    <xf numFmtId="0" fontId="14" fillId="0" borderId="10" xfId="0" applyFont="1" applyBorder="1" applyAlignment="1">
      <alignment horizontal="center" vertical="center"/>
    </xf>
    <xf numFmtId="0" fontId="14" fillId="0" borderId="14" xfId="0" applyFont="1" applyBorder="1" applyAlignment="1">
      <alignment horizontal="center" vertical="center"/>
    </xf>
    <xf numFmtId="0" fontId="14" fillId="0" borderId="15" xfId="0" applyFont="1" applyBorder="1" applyAlignment="1">
      <alignment horizontal="center" vertical="center"/>
    </xf>
    <xf numFmtId="0" fontId="27" fillId="0" borderId="0" xfId="0" applyFont="1" applyAlignment="1">
      <alignment horizontal="center" wrapText="1"/>
    </xf>
    <xf numFmtId="0" fontId="44" fillId="0" borderId="0" xfId="0" applyFont="1" applyAlignment="1">
      <alignment horizontal="center"/>
    </xf>
    <xf numFmtId="0" fontId="19" fillId="0" borderId="11" xfId="0" applyFont="1" applyBorder="1" applyAlignment="1">
      <alignment horizontal="center" vertical="center"/>
    </xf>
    <xf numFmtId="0" fontId="19" fillId="0" borderId="12" xfId="0" applyFont="1" applyBorder="1" applyAlignment="1">
      <alignment horizontal="center" vertical="center"/>
    </xf>
    <xf numFmtId="0" fontId="19" fillId="0" borderId="2" xfId="0" applyFont="1" applyBorder="1" applyAlignment="1">
      <alignment horizontal="center" vertical="center"/>
    </xf>
    <xf numFmtId="0" fontId="9" fillId="0" borderId="9" xfId="0" applyFont="1" applyBorder="1" applyAlignment="1">
      <alignment horizontal="center" vertical="center"/>
    </xf>
    <xf numFmtId="0" fontId="9" fillId="0" borderId="8" xfId="0" applyFont="1" applyBorder="1" applyAlignment="1">
      <alignment horizontal="center" vertical="center"/>
    </xf>
    <xf numFmtId="0" fontId="9" fillId="0" borderId="4" xfId="0" applyFont="1" applyBorder="1" applyAlignment="1">
      <alignment horizontal="center" vertical="center"/>
    </xf>
    <xf numFmtId="0" fontId="6" fillId="0" borderId="11" xfId="0" applyFont="1" applyBorder="1" applyAlignment="1">
      <alignment horizontal="center" vertical="center"/>
    </xf>
    <xf numFmtId="0" fontId="6" fillId="0" borderId="9" xfId="0" applyFont="1" applyBorder="1" applyAlignment="1">
      <alignment horizontal="center" vertical="center"/>
    </xf>
    <xf numFmtId="0" fontId="6" fillId="0" borderId="8" xfId="0" applyFont="1" applyBorder="1" applyAlignment="1">
      <alignment horizontal="center" vertical="center"/>
    </xf>
    <xf numFmtId="0" fontId="6" fillId="0" borderId="4" xfId="0" applyFont="1" applyBorder="1" applyAlignment="1">
      <alignment horizontal="center" vertical="center"/>
    </xf>
    <xf numFmtId="3" fontId="9" fillId="7" borderId="9" xfId="2" applyNumberFormat="1" applyFont="1" applyFill="1" applyBorder="1" applyAlignment="1" applyProtection="1">
      <alignment horizontal="center" vertical="center" wrapText="1"/>
      <protection locked="0"/>
    </xf>
    <xf numFmtId="3" fontId="9" fillId="7" borderId="4" xfId="2" applyNumberFormat="1" applyFont="1" applyFill="1" applyBorder="1" applyAlignment="1" applyProtection="1">
      <alignment horizontal="center" vertical="center" wrapText="1"/>
      <protection locked="0"/>
    </xf>
    <xf numFmtId="3" fontId="9" fillId="7" borderId="1" xfId="2" applyNumberFormat="1" applyFont="1" applyFill="1" applyBorder="1" applyAlignment="1" applyProtection="1">
      <alignment horizontal="center" vertical="center" wrapText="1"/>
      <protection locked="0"/>
    </xf>
    <xf numFmtId="0" fontId="14" fillId="7" borderId="4" xfId="2" applyNumberFormat="1" applyFont="1" applyFill="1" applyBorder="1" applyAlignment="1" applyProtection="1">
      <alignment horizontal="center" vertical="center" wrapText="1"/>
    </xf>
    <xf numFmtId="0" fontId="14" fillId="7" borderId="1" xfId="2" applyNumberFormat="1" applyFont="1" applyFill="1" applyBorder="1" applyAlignment="1" applyProtection="1">
      <alignment horizontal="center" vertical="center" wrapText="1"/>
    </xf>
    <xf numFmtId="3" fontId="10" fillId="7" borderId="1" xfId="2" applyNumberFormat="1" applyFont="1" applyFill="1" applyBorder="1" applyAlignment="1" applyProtection="1">
      <alignment horizontal="center" vertical="center" wrapText="1"/>
      <protection locked="0"/>
    </xf>
    <xf numFmtId="3" fontId="19" fillId="0" borderId="1" xfId="0" applyNumberFormat="1" applyFont="1" applyBorder="1" applyAlignment="1">
      <alignment horizontal="center" vertical="center"/>
    </xf>
    <xf numFmtId="3" fontId="47" fillId="0" borderId="9" xfId="0" applyNumberFormat="1" applyFont="1" applyBorder="1" applyAlignment="1">
      <alignment horizontal="center" vertical="center" wrapText="1"/>
    </xf>
    <xf numFmtId="3" fontId="47" fillId="0" borderId="8" xfId="0" applyNumberFormat="1" applyFont="1" applyBorder="1" applyAlignment="1">
      <alignment horizontal="center" vertical="center" wrapText="1"/>
    </xf>
    <xf numFmtId="3" fontId="47" fillId="0" borderId="4" xfId="0" applyNumberFormat="1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/>
    </xf>
    <xf numFmtId="0" fontId="48" fillId="0" borderId="0" xfId="0" applyFont="1" applyAlignment="1">
      <alignment horizontal="center" wrapText="1"/>
    </xf>
    <xf numFmtId="0" fontId="48" fillId="0" borderId="0" xfId="0" applyFont="1" applyAlignment="1">
      <alignment horizontal="center"/>
    </xf>
    <xf numFmtId="0" fontId="28" fillId="0" borderId="33" xfId="0" applyFont="1" applyBorder="1" applyAlignment="1">
      <alignment horizontal="center" vertical="center"/>
    </xf>
    <xf numFmtId="0" fontId="28" fillId="0" borderId="34" xfId="0" applyFont="1" applyBorder="1" applyAlignment="1">
      <alignment horizontal="center" vertical="center"/>
    </xf>
    <xf numFmtId="0" fontId="28" fillId="0" borderId="32" xfId="0" applyFont="1" applyBorder="1" applyAlignment="1">
      <alignment horizontal="center" vertical="center"/>
    </xf>
    <xf numFmtId="0" fontId="15" fillId="0" borderId="11" xfId="0" applyFont="1" applyBorder="1" applyAlignment="1">
      <alignment horizontal="center"/>
    </xf>
    <xf numFmtId="0" fontId="15" fillId="0" borderId="12" xfId="0" applyFont="1" applyBorder="1" applyAlignment="1">
      <alignment horizontal="center"/>
    </xf>
    <xf numFmtId="0" fontId="15" fillId="0" borderId="9" xfId="0" applyFont="1" applyBorder="1" applyAlignment="1">
      <alignment horizontal="center"/>
    </xf>
    <xf numFmtId="0" fontId="15" fillId="0" borderId="8" xfId="0" applyFont="1" applyBorder="1" applyAlignment="1">
      <alignment horizontal="center"/>
    </xf>
    <xf numFmtId="0" fontId="18" fillId="0" borderId="0" xfId="0" applyFont="1" applyFill="1" applyBorder="1" applyAlignment="1">
      <alignment horizontal="center" vertical="center"/>
    </xf>
    <xf numFmtId="0" fontId="10" fillId="0" borderId="9" xfId="0" applyFont="1" applyFill="1" applyBorder="1" applyAlignment="1">
      <alignment horizontal="center" vertical="center" wrapText="1"/>
    </xf>
    <xf numFmtId="0" fontId="10" fillId="0" borderId="4" xfId="0" applyFont="1" applyFill="1" applyBorder="1" applyAlignment="1">
      <alignment horizontal="center" vertical="center" wrapText="1"/>
    </xf>
    <xf numFmtId="0" fontId="51" fillId="0" borderId="0" xfId="0" applyFont="1" applyAlignment="1">
      <alignment horizontal="center"/>
    </xf>
    <xf numFmtId="0" fontId="26" fillId="0" borderId="0" xfId="0" applyFont="1" applyAlignment="1">
      <alignment horizontal="center"/>
    </xf>
    <xf numFmtId="0" fontId="45" fillId="0" borderId="9" xfId="0" applyFont="1" applyFill="1" applyBorder="1" applyAlignment="1" applyProtection="1">
      <alignment horizontal="center" vertical="center" wrapText="1"/>
    </xf>
    <xf numFmtId="0" fontId="45" fillId="0" borderId="4" xfId="0" applyFont="1" applyFill="1" applyBorder="1" applyAlignment="1" applyProtection="1">
      <alignment horizontal="center" vertical="center" wrapText="1"/>
    </xf>
    <xf numFmtId="0" fontId="45" fillId="0" borderId="8" xfId="0" applyFont="1" applyFill="1" applyBorder="1" applyAlignment="1" applyProtection="1">
      <alignment horizontal="center" vertical="center" wrapText="1"/>
    </xf>
    <xf numFmtId="0" fontId="45" fillId="0" borderId="9" xfId="0" applyFont="1" applyFill="1" applyBorder="1" applyAlignment="1" applyProtection="1">
      <alignment horizontal="center" vertical="center"/>
    </xf>
    <xf numFmtId="0" fontId="45" fillId="0" borderId="4" xfId="0" applyFont="1" applyFill="1" applyBorder="1" applyAlignment="1" applyProtection="1">
      <alignment horizontal="center" vertical="center"/>
    </xf>
    <xf numFmtId="0" fontId="52" fillId="0" borderId="4" xfId="0" applyFont="1" applyFill="1" applyBorder="1" applyAlignment="1" applyProtection="1"/>
    <xf numFmtId="0" fontId="0" fillId="0" borderId="9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26" fillId="0" borderId="0" xfId="0" applyFont="1" applyAlignment="1">
      <alignment horizontal="center" wrapText="1"/>
    </xf>
    <xf numFmtId="0" fontId="21" fillId="0" borderId="0" xfId="0" applyFont="1" applyAlignment="1">
      <alignment horizontal="center"/>
    </xf>
    <xf numFmtId="0" fontId="9" fillId="0" borderId="5" xfId="10" applyNumberFormat="1" applyFont="1" applyFill="1" applyBorder="1" applyAlignment="1" applyProtection="1">
      <alignment horizontal="center" wrapText="1"/>
    </xf>
    <xf numFmtId="0" fontId="9" fillId="0" borderId="6" xfId="10" applyNumberFormat="1" applyFont="1" applyFill="1" applyBorder="1" applyAlignment="1" applyProtection="1">
      <alignment horizontal="center" wrapText="1"/>
    </xf>
    <xf numFmtId="0" fontId="6" fillId="0" borderId="8" xfId="3" applyNumberFormat="1" applyFont="1" applyBorder="1" applyAlignment="1" applyProtection="1">
      <alignment horizontal="center" vertical="center"/>
    </xf>
    <xf numFmtId="0" fontId="9" fillId="0" borderId="11" xfId="3" applyNumberFormat="1" applyFont="1" applyBorder="1" applyAlignment="1" applyProtection="1">
      <alignment horizontal="center"/>
    </xf>
    <xf numFmtId="0" fontId="9" fillId="0" borderId="2" xfId="3" applyNumberFormat="1" applyFont="1" applyBorder="1" applyAlignment="1" applyProtection="1">
      <alignment horizontal="center"/>
    </xf>
    <xf numFmtId="0" fontId="26" fillId="0" borderId="0" xfId="6" applyFont="1" applyAlignment="1">
      <alignment horizontal="center" vertical="center"/>
    </xf>
    <xf numFmtId="0" fontId="2" fillId="0" borderId="9" xfId="6" applyBorder="1" applyAlignment="1">
      <alignment horizontal="center" vertical="center"/>
    </xf>
    <xf numFmtId="0" fontId="2" fillId="0" borderId="8" xfId="6" applyBorder="1" applyAlignment="1">
      <alignment horizontal="center" vertical="center"/>
    </xf>
    <xf numFmtId="0" fontId="2" fillId="0" borderId="4" xfId="6" applyBorder="1" applyAlignment="1">
      <alignment horizontal="center" vertical="center"/>
    </xf>
    <xf numFmtId="0" fontId="22" fillId="0" borderId="0" xfId="6" applyFont="1" applyAlignment="1">
      <alignment horizontal="center" vertical="center"/>
    </xf>
    <xf numFmtId="0" fontId="22" fillId="5" borderId="0" xfId="6" applyFont="1" applyFill="1" applyAlignment="1">
      <alignment horizontal="center" vertical="center"/>
    </xf>
  </cellXfs>
  <cellStyles count="11">
    <cellStyle name="Millares" xfId="1" builtinId="3"/>
    <cellStyle name="Normal" xfId="0" builtinId="0"/>
    <cellStyle name="Normal_APS" xfId="2"/>
    <cellStyle name="Normal_cap III-1" xfId="3"/>
    <cellStyle name="Normal_EGRE" xfId="4"/>
    <cellStyle name="Normal_ESTUDIO CAMAS 2009" xfId="5"/>
    <cellStyle name="Normal_ind" xfId="6"/>
    <cellStyle name="Normal_REM 06-2002" xfId="7"/>
    <cellStyle name="Normal_REM 09-2002" xfId="8"/>
    <cellStyle name="Normal_REM 17-2002" xfId="9"/>
    <cellStyle name="Normal_REM 20-2002" xfId="1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externalLink" Target="externalLinks/externalLink30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externalLink" Target="externalLinks/externalLink2.xml"/><Relationship Id="rId112" Type="http://schemas.openxmlformats.org/officeDocument/2006/relationships/externalLink" Target="externalLinks/externalLink25.xml"/><Relationship Id="rId16" Type="http://schemas.openxmlformats.org/officeDocument/2006/relationships/worksheet" Target="worksheets/sheet16.xml"/><Relationship Id="rId107" Type="http://schemas.openxmlformats.org/officeDocument/2006/relationships/externalLink" Target="externalLinks/externalLink20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externalLink" Target="externalLinks/externalLink15.xml"/><Relationship Id="rId123" Type="http://schemas.openxmlformats.org/officeDocument/2006/relationships/externalLink" Target="externalLinks/externalLink36.xml"/><Relationship Id="rId128" Type="http://schemas.openxmlformats.org/officeDocument/2006/relationships/calcChain" Target="calcChain.xml"/><Relationship Id="rId5" Type="http://schemas.openxmlformats.org/officeDocument/2006/relationships/worksheet" Target="worksheets/sheet5.xml"/><Relationship Id="rId90" Type="http://schemas.openxmlformats.org/officeDocument/2006/relationships/externalLink" Target="externalLinks/externalLink3.xml"/><Relationship Id="rId95" Type="http://schemas.openxmlformats.org/officeDocument/2006/relationships/externalLink" Target="externalLinks/externalLink8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externalLink" Target="externalLinks/externalLink13.xml"/><Relationship Id="rId105" Type="http://schemas.openxmlformats.org/officeDocument/2006/relationships/externalLink" Target="externalLinks/externalLink18.xml"/><Relationship Id="rId113" Type="http://schemas.openxmlformats.org/officeDocument/2006/relationships/externalLink" Target="externalLinks/externalLink26.xml"/><Relationship Id="rId118" Type="http://schemas.openxmlformats.org/officeDocument/2006/relationships/externalLink" Target="externalLinks/externalLink31.xml"/><Relationship Id="rId126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externalLink" Target="externalLinks/externalLink6.xml"/><Relationship Id="rId98" Type="http://schemas.openxmlformats.org/officeDocument/2006/relationships/externalLink" Target="externalLinks/externalLink11.xml"/><Relationship Id="rId121" Type="http://schemas.openxmlformats.org/officeDocument/2006/relationships/externalLink" Target="externalLinks/externalLink34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externalLink" Target="externalLinks/externalLink16.xml"/><Relationship Id="rId108" Type="http://schemas.openxmlformats.org/officeDocument/2006/relationships/externalLink" Target="externalLinks/externalLink21.xml"/><Relationship Id="rId116" Type="http://schemas.openxmlformats.org/officeDocument/2006/relationships/externalLink" Target="externalLinks/externalLink29.xml"/><Relationship Id="rId124" Type="http://schemas.openxmlformats.org/officeDocument/2006/relationships/externalLink" Target="externalLinks/externalLink3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externalLink" Target="externalLinks/externalLink1.xml"/><Relationship Id="rId91" Type="http://schemas.openxmlformats.org/officeDocument/2006/relationships/externalLink" Target="externalLinks/externalLink4.xml"/><Relationship Id="rId96" Type="http://schemas.openxmlformats.org/officeDocument/2006/relationships/externalLink" Target="externalLinks/externalLink9.xml"/><Relationship Id="rId111" Type="http://schemas.openxmlformats.org/officeDocument/2006/relationships/externalLink" Target="externalLinks/externalLink2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externalLink" Target="externalLinks/externalLink19.xml"/><Relationship Id="rId114" Type="http://schemas.openxmlformats.org/officeDocument/2006/relationships/externalLink" Target="externalLinks/externalLink27.xml"/><Relationship Id="rId119" Type="http://schemas.openxmlformats.org/officeDocument/2006/relationships/externalLink" Target="externalLinks/externalLink32.xml"/><Relationship Id="rId127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externalLink" Target="externalLinks/externalLink7.xml"/><Relationship Id="rId99" Type="http://schemas.openxmlformats.org/officeDocument/2006/relationships/externalLink" Target="externalLinks/externalLink12.xml"/><Relationship Id="rId101" Type="http://schemas.openxmlformats.org/officeDocument/2006/relationships/externalLink" Target="externalLinks/externalLink14.xml"/><Relationship Id="rId122" Type="http://schemas.openxmlformats.org/officeDocument/2006/relationships/externalLink" Target="externalLinks/externalLink3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externalLink" Target="externalLinks/externalLink22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externalLink" Target="externalLinks/externalLink10.xml"/><Relationship Id="rId104" Type="http://schemas.openxmlformats.org/officeDocument/2006/relationships/externalLink" Target="externalLinks/externalLink17.xml"/><Relationship Id="rId120" Type="http://schemas.openxmlformats.org/officeDocument/2006/relationships/externalLink" Target="externalLinks/externalLink33.xml"/><Relationship Id="rId125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externalLink" Target="externalLinks/externalLink5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externalLink" Target="externalLinks/externalLink23.xml"/><Relationship Id="rId115" Type="http://schemas.openxmlformats.org/officeDocument/2006/relationships/externalLink" Target="externalLinks/externalLink2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7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7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8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8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333399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RURALIDAD SEGÚN COMUNAS  AÑO 2013
SERVICIO DE SALUD ACONCAGUA</a:t>
            </a:r>
          </a:p>
        </c:rich>
      </c:tx>
      <c:layout>
        <c:manualLayout>
          <c:xMode val="edge"/>
          <c:yMode val="edge"/>
          <c:x val="0.26069246435846088"/>
          <c:y val="4.054054054054054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5173116089613028E-2"/>
          <c:y val="0.23423526461880903"/>
          <c:w val="0.92668024439920005"/>
          <c:h val="0.66216507498011901"/>
        </c:manualLayout>
      </c:layout>
      <c:barChart>
        <c:barDir val="col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8080FF"/>
                </a:gs>
                <a:gs pos="100000">
                  <a:srgbClr val="8080FF">
                    <a:gamma/>
                    <a:tint val="0"/>
                    <a:invGamma/>
                  </a:srgbClr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'6'!$I$12:$I$21</c:f>
              <c:strCache>
                <c:ptCount val="10"/>
                <c:pt idx="0">
                  <c:v>  LOS ANDES</c:v>
                </c:pt>
                <c:pt idx="1">
                  <c:v>  SAN EST.</c:v>
                </c:pt>
                <c:pt idx="2">
                  <c:v>  CALLE L.</c:v>
                </c:pt>
                <c:pt idx="3">
                  <c:v>  RINCO.</c:v>
                </c:pt>
                <c:pt idx="4">
                  <c:v>  SAN FELIPE</c:v>
                </c:pt>
                <c:pt idx="5">
                  <c:v>  PUTAENDO</c:v>
                </c:pt>
                <c:pt idx="6">
                  <c:v>  STA.  MARIA</c:v>
                </c:pt>
                <c:pt idx="7">
                  <c:v>  PANQ.</c:v>
                </c:pt>
                <c:pt idx="8">
                  <c:v>  LLAY - LLAY</c:v>
                </c:pt>
                <c:pt idx="9">
                  <c:v>  CATEMU</c:v>
                </c:pt>
              </c:strCache>
            </c:strRef>
          </c:cat>
          <c:val>
            <c:numRef>
              <c:f>'6'!$J$12:$J$21</c:f>
              <c:numCache>
                <c:formatCode>0.0</c:formatCode>
                <c:ptCount val="10"/>
                <c:pt idx="0">
                  <c:v>7.1</c:v>
                </c:pt>
                <c:pt idx="1">
                  <c:v>47.599999999999994</c:v>
                </c:pt>
                <c:pt idx="2">
                  <c:v>47.5</c:v>
                </c:pt>
                <c:pt idx="3">
                  <c:v>14.42</c:v>
                </c:pt>
                <c:pt idx="4">
                  <c:v>10</c:v>
                </c:pt>
                <c:pt idx="5">
                  <c:v>56.999999999999993</c:v>
                </c:pt>
                <c:pt idx="6">
                  <c:v>38</c:v>
                </c:pt>
                <c:pt idx="7">
                  <c:v>55.000000000000007</c:v>
                </c:pt>
                <c:pt idx="8">
                  <c:v>25</c:v>
                </c:pt>
                <c:pt idx="9">
                  <c:v>45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6700416"/>
        <c:axId val="293985600"/>
      </c:barChart>
      <c:catAx>
        <c:axId val="32670041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5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L"/>
          </a:p>
        </c:txPr>
        <c:crossAx val="29398560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93985600"/>
        <c:scaling>
          <c:orientation val="minMax"/>
          <c:max val="65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L"/>
          </a:p>
        </c:txPr>
        <c:crossAx val="326700416"/>
        <c:crosses val="autoZero"/>
        <c:crossBetween val="between"/>
        <c:majorUnit val="10"/>
      </c:valAx>
      <c:spPr>
        <a:solidFill>
          <a:srgbClr val="E3E3E3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L"/>
    </a:p>
  </c:txPr>
  <c:printSettings>
    <c:headerFooter alignWithMargins="0"/>
    <c:pageMargins b="1" l="0.75000000000001465" r="0.75000000000001465" t="1" header="0" footer="0"/>
    <c:pageSetup paperSize="9" orientation="landscape" horizontalDpi="300" verticalDpi="300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333399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TENDENCIA DE INDICE  DE VEJEZ SERVICIO DE SALUD ACONCAGUA  2008 - 2014
</a:t>
            </a:r>
          </a:p>
        </c:rich>
      </c:tx>
      <c:layout>
        <c:manualLayout>
          <c:xMode val="edge"/>
          <c:yMode val="edge"/>
          <c:x val="0.14386817213886041"/>
          <c:y val="4.072398190045252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92466410472258"/>
          <c:y val="0.21719457013574661"/>
          <c:w val="0.87264251437495965"/>
          <c:h val="0.62895927601815405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numRef>
              <c:f>'12'!$B$6:$H$6</c:f>
              <c:numCache>
                <c:formatCode>General</c:formatCode>
                <c:ptCount val="7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</c:numCache>
            </c:numRef>
          </c:cat>
          <c:val>
            <c:numRef>
              <c:f>'12'!$B$19:$H$19</c:f>
              <c:numCache>
                <c:formatCode>#,##0.00</c:formatCode>
                <c:ptCount val="7"/>
                <c:pt idx="0">
                  <c:v>38.279320104045681</c:v>
                </c:pt>
                <c:pt idx="1">
                  <c:v>40.153402061855672</c:v>
                </c:pt>
                <c:pt idx="2">
                  <c:v>42.073667581275465</c:v>
                </c:pt>
                <c:pt idx="3">
                  <c:v>44.064943074794556</c:v>
                </c:pt>
                <c:pt idx="4">
                  <c:v>46.06784759358289</c:v>
                </c:pt>
                <c:pt idx="5">
                  <c:v>48.08549127332418</c:v>
                </c:pt>
                <c:pt idx="6">
                  <c:v>50.115027455458346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7797328"/>
        <c:axId val="328777664"/>
      </c:lineChart>
      <c:catAx>
        <c:axId val="3277973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0/0</a:t>
                </a:r>
              </a:p>
            </c:rich>
          </c:tx>
          <c:layout>
            <c:manualLayout>
              <c:xMode val="edge"/>
              <c:yMode val="edge"/>
              <c:x val="3.0660377358490611E-2"/>
              <c:y val="5.882352941176470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1" i="1" u="none" strike="noStrike" baseline="0">
                <a:solidFill>
                  <a:srgbClr val="000080"/>
                </a:solidFill>
                <a:latin typeface="Arial"/>
                <a:ea typeface="Arial"/>
                <a:cs typeface="Arial"/>
              </a:defRPr>
            </a:pPr>
            <a:endParaRPr lang="es-CL"/>
          </a:p>
        </c:txPr>
        <c:crossAx val="3287776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28777664"/>
        <c:scaling>
          <c:orientation val="minMax"/>
          <c:max val="52"/>
          <c:min val="37"/>
        </c:scaling>
        <c:delete val="0"/>
        <c:axPos val="l"/>
        <c:majorGridlines>
          <c:spPr>
            <a:ln w="12700">
              <a:solidFill>
                <a:srgbClr val="FF0000"/>
              </a:solidFill>
              <a:prstDash val="solid"/>
            </a:ln>
          </c:spPr>
        </c:majorGridlines>
        <c:numFmt formatCode="#,##0.00" sourceLinked="1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1" i="1" u="none" strike="noStrike" baseline="0">
                <a:solidFill>
                  <a:srgbClr val="000080"/>
                </a:solidFill>
                <a:latin typeface="Arial"/>
                <a:ea typeface="Arial"/>
                <a:cs typeface="Arial"/>
              </a:defRPr>
            </a:pPr>
            <a:endParaRPr lang="es-CL"/>
          </a:p>
        </c:txPr>
        <c:crossAx val="327797328"/>
        <c:crosses val="autoZero"/>
        <c:crossBetween val="between"/>
        <c:majorUnit val="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E3E3E3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L"/>
    </a:p>
  </c:txPr>
  <c:printSettings>
    <c:headerFooter alignWithMargins="0"/>
    <c:pageMargins b="1" l="0.75000000000001465" r="0.75000000000001465" t="1" header="0.5" footer="0.5"/>
    <c:pageSetup orientation="landscape" horizontalDpi="300" verticalDpi="300"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8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Numero  de Egresos  y  Promedio  de  Camas
Hospital  Psiquiatrico
</a:t>
            </a:r>
          </a:p>
        </c:rich>
      </c:tx>
      <c:layout>
        <c:manualLayout>
          <c:xMode val="edge"/>
          <c:yMode val="edge"/>
          <c:x val="0.22025740351587891"/>
          <c:y val="3.606557377049180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6816788409983831E-2"/>
          <c:y val="0.29180327868852457"/>
          <c:w val="0.83440579971817863"/>
          <c:h val="0.47213114754098329"/>
        </c:manualLayout>
      </c:layout>
      <c:lineChart>
        <c:grouping val="standard"/>
        <c:varyColors val="0"/>
        <c:ser>
          <c:idx val="1"/>
          <c:order val="0"/>
          <c:tx>
            <c:v>N° de  Egresos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'96'!$B$9:$B$18</c:f>
              <c:numCache>
                <c:formatCode>General</c:formatCode>
                <c:ptCount val="10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</c:numCache>
            </c:numRef>
          </c:cat>
          <c:val>
            <c:numRef>
              <c:f>'96'!$E$9:$E$18</c:f>
              <c:numCache>
                <c:formatCode>#,##0</c:formatCode>
                <c:ptCount val="10"/>
                <c:pt idx="0">
                  <c:v>843</c:v>
                </c:pt>
                <c:pt idx="1">
                  <c:v>954</c:v>
                </c:pt>
                <c:pt idx="2">
                  <c:v>972</c:v>
                </c:pt>
                <c:pt idx="3">
                  <c:v>1072</c:v>
                </c:pt>
                <c:pt idx="4">
                  <c:v>1039</c:v>
                </c:pt>
                <c:pt idx="5">
                  <c:v>909</c:v>
                </c:pt>
                <c:pt idx="6">
                  <c:v>931</c:v>
                </c:pt>
                <c:pt idx="7">
                  <c:v>1001</c:v>
                </c:pt>
                <c:pt idx="8">
                  <c:v>970</c:v>
                </c:pt>
                <c:pt idx="9">
                  <c:v>919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8901640"/>
        <c:axId val="338902032"/>
      </c:lineChart>
      <c:lineChart>
        <c:grouping val="standard"/>
        <c:varyColors val="0"/>
        <c:ser>
          <c:idx val="0"/>
          <c:order val="1"/>
          <c:tx>
            <c:v>Promedio  de  Camas</c:v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numRef>
              <c:f>'96'!$C$9:$C$18</c:f>
              <c:numCache>
                <c:formatCode>General</c:formatCode>
                <c:ptCount val="10"/>
                <c:pt idx="0">
                  <c:v>415</c:v>
                </c:pt>
                <c:pt idx="1">
                  <c:v>415</c:v>
                </c:pt>
                <c:pt idx="2">
                  <c:v>415</c:v>
                </c:pt>
                <c:pt idx="3">
                  <c:v>415</c:v>
                </c:pt>
                <c:pt idx="4">
                  <c:v>415</c:v>
                </c:pt>
                <c:pt idx="5">
                  <c:v>415</c:v>
                </c:pt>
                <c:pt idx="6">
                  <c:v>354</c:v>
                </c:pt>
                <c:pt idx="7">
                  <c:v>354</c:v>
                </c:pt>
                <c:pt idx="8">
                  <c:v>354</c:v>
                </c:pt>
                <c:pt idx="9">
                  <c:v>354</c:v>
                </c:pt>
              </c:numCache>
            </c:numRef>
          </c:cat>
          <c:val>
            <c:numRef>
              <c:f>'96'!$D$9:$D$18</c:f>
              <c:numCache>
                <c:formatCode>General</c:formatCode>
                <c:ptCount val="10"/>
                <c:pt idx="0">
                  <c:v>377</c:v>
                </c:pt>
                <c:pt idx="1">
                  <c:v>386</c:v>
                </c:pt>
                <c:pt idx="2">
                  <c:v>380</c:v>
                </c:pt>
                <c:pt idx="3">
                  <c:v>388</c:v>
                </c:pt>
                <c:pt idx="4">
                  <c:v>358</c:v>
                </c:pt>
                <c:pt idx="5">
                  <c:v>327</c:v>
                </c:pt>
                <c:pt idx="6">
                  <c:v>320</c:v>
                </c:pt>
                <c:pt idx="7">
                  <c:v>329</c:v>
                </c:pt>
                <c:pt idx="8" formatCode="0">
                  <c:v>320.61095890410957</c:v>
                </c:pt>
                <c:pt idx="9" formatCode="0">
                  <c:v>321.42465753424659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8902424"/>
        <c:axId val="338902816"/>
      </c:lineChart>
      <c:catAx>
        <c:axId val="3389016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Egresos</a:t>
                </a:r>
              </a:p>
            </c:rich>
          </c:tx>
          <c:layout>
            <c:manualLayout>
              <c:xMode val="edge"/>
              <c:yMode val="edge"/>
              <c:x val="1.4469453376205787E-2"/>
              <c:y val="0.2032786885245904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L"/>
          </a:p>
        </c:txPr>
        <c:crossAx val="33890203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38902032"/>
        <c:scaling>
          <c:orientation val="minMax"/>
          <c:max val="1100"/>
          <c:min val="800"/>
        </c:scaling>
        <c:delete val="0"/>
        <c:axPos val="l"/>
        <c:numFmt formatCode="#,##0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L"/>
          </a:p>
        </c:txPr>
        <c:crossAx val="338901640"/>
        <c:crosses val="autoZero"/>
        <c:crossBetween val="between"/>
        <c:majorUnit val="100"/>
        <c:minorUnit val="100"/>
      </c:valAx>
      <c:catAx>
        <c:axId val="338902424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Camas</a:t>
                </a:r>
              </a:p>
            </c:rich>
          </c:tx>
          <c:layout>
            <c:manualLayout>
              <c:xMode val="edge"/>
              <c:yMode val="edge"/>
              <c:x val="0.90514536969052495"/>
              <c:y val="0.1901639344262324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338902816"/>
        <c:crosses val="autoZero"/>
        <c:auto val="0"/>
        <c:lblAlgn val="ctr"/>
        <c:lblOffset val="100"/>
        <c:noMultiLvlLbl val="0"/>
      </c:catAx>
      <c:valAx>
        <c:axId val="338902816"/>
        <c:scaling>
          <c:orientation val="minMax"/>
          <c:max val="400"/>
          <c:min val="315"/>
        </c:scaling>
        <c:delete val="0"/>
        <c:axPos val="r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L"/>
          </a:p>
        </c:txPr>
        <c:crossAx val="338902424"/>
        <c:crosses val="max"/>
        <c:crossBetween val="between"/>
        <c:majorUnit val="5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8327991155447229"/>
          <c:y val="0.83606557377049184"/>
          <c:w val="0.63022558675343165"/>
          <c:h val="0.13770491803278884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L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L"/>
    </a:p>
  </c:txPr>
  <c:printSettings>
    <c:headerFooter alignWithMargins="0"/>
    <c:pageMargins b="1" l="0.75000000000001465" r="0.75000000000001465" t="1" header="0" footer="0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8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Indice  Ocupacional y Promedio  dias estada
Hospital  Psiquiatrico
</a:t>
            </a:r>
          </a:p>
        </c:rich>
      </c:tx>
      <c:layout>
        <c:manualLayout>
          <c:xMode val="edge"/>
          <c:yMode val="edge"/>
          <c:x val="0.22455590466377487"/>
          <c:y val="3.654485049833887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7237548621097546E-2"/>
          <c:y val="0.29568154277658909"/>
          <c:w val="0.8093705899846021"/>
          <c:h val="0.46511703358115125"/>
        </c:manualLayout>
      </c:layout>
      <c:lineChart>
        <c:grouping val="standard"/>
        <c:varyColors val="0"/>
        <c:ser>
          <c:idx val="1"/>
          <c:order val="0"/>
          <c:tx>
            <c:v>indice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'96'!$B$9:$B$18</c:f>
              <c:numCache>
                <c:formatCode>General</c:formatCode>
                <c:ptCount val="10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</c:numCache>
            </c:numRef>
          </c:cat>
          <c:val>
            <c:numRef>
              <c:f>'96'!$F$9:$F$18</c:f>
              <c:numCache>
                <c:formatCode>#,##0.0</c:formatCode>
                <c:ptCount val="10"/>
                <c:pt idx="0">
                  <c:v>91.3</c:v>
                </c:pt>
                <c:pt idx="1">
                  <c:v>97.6</c:v>
                </c:pt>
                <c:pt idx="2">
                  <c:v>95.8</c:v>
                </c:pt>
                <c:pt idx="3">
                  <c:v>96.028594694704069</c:v>
                </c:pt>
                <c:pt idx="4">
                  <c:v>91.2</c:v>
                </c:pt>
                <c:pt idx="5">
                  <c:v>94.4</c:v>
                </c:pt>
                <c:pt idx="6">
                  <c:v>95.278808501906596</c:v>
                </c:pt>
                <c:pt idx="7">
                  <c:v>92.909454061251665</c:v>
                </c:pt>
                <c:pt idx="8">
                  <c:v>94.783931363919919</c:v>
                </c:pt>
                <c:pt idx="9">
                  <c:v>97.723320831912716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8903600"/>
        <c:axId val="338903992"/>
      </c:lineChart>
      <c:lineChart>
        <c:grouping val="standard"/>
        <c:varyColors val="0"/>
        <c:ser>
          <c:idx val="0"/>
          <c:order val="1"/>
          <c:tx>
            <c:v>Promedio</c:v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numRef>
              <c:f>'96'!$G$9:$G$18</c:f>
              <c:numCache>
                <c:formatCode>0.00</c:formatCode>
                <c:ptCount val="10"/>
                <c:pt idx="0">
                  <c:v>155.96</c:v>
                </c:pt>
                <c:pt idx="1">
                  <c:v>276.60000000000002</c:v>
                </c:pt>
                <c:pt idx="2">
                  <c:v>195.48</c:v>
                </c:pt>
                <c:pt idx="3">
                  <c:v>127.92695473251028</c:v>
                </c:pt>
                <c:pt idx="4">
                  <c:v>138.77000000000001</c:v>
                </c:pt>
                <c:pt idx="5">
                  <c:v>95.23</c:v>
                </c:pt>
                <c:pt idx="6">
                  <c:v>136.72073039742213</c:v>
                </c:pt>
                <c:pt idx="7">
                  <c:v>117.18181818181819</c:v>
                </c:pt>
                <c:pt idx="8">
                  <c:v>121.99072164948454</c:v>
                </c:pt>
                <c:pt idx="9">
                  <c:v>127.86289445048966</c:v>
                </c:pt>
              </c:numCache>
            </c:numRef>
          </c:cat>
          <c:val>
            <c:numRef>
              <c:f>'96'!$G$9:$G$18</c:f>
              <c:numCache>
                <c:formatCode>0.00</c:formatCode>
                <c:ptCount val="10"/>
                <c:pt idx="0">
                  <c:v>155.96</c:v>
                </c:pt>
                <c:pt idx="1">
                  <c:v>276.60000000000002</c:v>
                </c:pt>
                <c:pt idx="2">
                  <c:v>195.48</c:v>
                </c:pt>
                <c:pt idx="3">
                  <c:v>127.92695473251028</c:v>
                </c:pt>
                <c:pt idx="4">
                  <c:v>138.77000000000001</c:v>
                </c:pt>
                <c:pt idx="5">
                  <c:v>95.23</c:v>
                </c:pt>
                <c:pt idx="6">
                  <c:v>136.72073039742213</c:v>
                </c:pt>
                <c:pt idx="7">
                  <c:v>117.18181818181819</c:v>
                </c:pt>
                <c:pt idx="8">
                  <c:v>121.99072164948454</c:v>
                </c:pt>
                <c:pt idx="9">
                  <c:v>127.86289445048966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8904384"/>
        <c:axId val="338904776"/>
      </c:lineChart>
      <c:catAx>
        <c:axId val="3389036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I. Ocup.</a:t>
                </a:r>
              </a:p>
            </c:rich>
          </c:tx>
          <c:layout>
            <c:manualLayout>
              <c:xMode val="edge"/>
              <c:yMode val="edge"/>
              <c:x val="1.9386106623586741E-2"/>
              <c:y val="0.205980415238792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L"/>
          </a:p>
        </c:txPr>
        <c:crossAx val="33890399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38903992"/>
        <c:scaling>
          <c:orientation val="minMax"/>
          <c:max val="100"/>
          <c:min val="80"/>
        </c:scaling>
        <c:delete val="0"/>
        <c:axPos val="l"/>
        <c:numFmt formatCode="#,##0.0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L"/>
          </a:p>
        </c:txPr>
        <c:crossAx val="338903600"/>
        <c:crosses val="autoZero"/>
        <c:crossBetween val="between"/>
        <c:majorUnit val="5"/>
        <c:minorUnit val="5"/>
      </c:valAx>
      <c:catAx>
        <c:axId val="338904384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Pro. dias</a:t>
                </a:r>
              </a:p>
            </c:rich>
          </c:tx>
          <c:layout>
            <c:manualLayout>
              <c:xMode val="edge"/>
              <c:yMode val="edge"/>
              <c:x val="0.87237547649035474"/>
              <c:y val="0.19269137869394232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1"/>
        <c:majorTickMark val="out"/>
        <c:minorTickMark val="none"/>
        <c:tickLblPos val="nextTo"/>
        <c:crossAx val="338904776"/>
        <c:crosses val="autoZero"/>
        <c:auto val="0"/>
        <c:lblAlgn val="ctr"/>
        <c:lblOffset val="100"/>
        <c:noMultiLvlLbl val="0"/>
      </c:catAx>
      <c:valAx>
        <c:axId val="338904776"/>
        <c:scaling>
          <c:orientation val="minMax"/>
          <c:max val="340"/>
          <c:min val="90"/>
        </c:scaling>
        <c:delete val="0"/>
        <c:axPos val="r"/>
        <c:numFmt formatCode="0.00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L"/>
          </a:p>
        </c:txPr>
        <c:crossAx val="338904384"/>
        <c:crosses val="max"/>
        <c:crossBetween val="between"/>
        <c:majorUnit val="5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2778692243437271"/>
          <c:y val="0.85049973404490065"/>
          <c:w val="0.63327999185885364"/>
          <c:h val="0.13953523251451241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L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L"/>
    </a:p>
  </c:txPr>
  <c:printSettings>
    <c:headerFooter alignWithMargins="0"/>
    <c:pageMargins b="1" l="0.75000000000001465" r="0.75000000000001465" t="1" header="0" footer="0"/>
    <c:pageSetup orientation="landscape" horizontalDpi="0" verticalDpi="0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75" b="1" i="0" u="none" strike="noStrike" baseline="0">
                <a:solidFill>
                  <a:srgbClr val="00008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PERFIL DE  FECUNDIDAD  
SERVICIO DE SALUD  ACONCAGUA</a:t>
            </a:r>
          </a:p>
        </c:rich>
      </c:tx>
      <c:layout>
        <c:manualLayout>
          <c:xMode val="edge"/>
          <c:yMode val="edge"/>
          <c:x val="0.20911016557713807"/>
          <c:y val="4.1841004184100396E-2"/>
        </c:manualLayout>
      </c:layout>
      <c:overlay val="0"/>
      <c:spPr>
        <a:solidFill>
          <a:srgbClr val="E3E3E3"/>
        </a:solidFill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9379082919017966E-2"/>
          <c:y val="0.27196652719666942"/>
          <c:w val="0.87163737310221978"/>
          <c:h val="0.58577405857740583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numRef>
              <c:f>'13'!$H$9:$H$17</c:f>
              <c:numCache>
                <c:formatCode>General</c:formatCode>
                <c:ptCount val="9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</c:numCache>
            </c:numRef>
          </c:cat>
          <c:val>
            <c:numRef>
              <c:f>'13'!$I$9:$I$17</c:f>
              <c:numCache>
                <c:formatCode>0.0</c:formatCode>
                <c:ptCount val="9"/>
                <c:pt idx="0">
                  <c:v>50</c:v>
                </c:pt>
                <c:pt idx="1">
                  <c:v>52</c:v>
                </c:pt>
                <c:pt idx="2">
                  <c:v>52.6</c:v>
                </c:pt>
                <c:pt idx="3">
                  <c:v>51.2</c:v>
                </c:pt>
                <c:pt idx="4">
                  <c:v>50.639326189893289</c:v>
                </c:pt>
                <c:pt idx="5">
                  <c:v>54.4</c:v>
                </c:pt>
                <c:pt idx="6">
                  <c:v>53.3</c:v>
                </c:pt>
                <c:pt idx="7">
                  <c:v>51.7</c:v>
                </c:pt>
                <c:pt idx="8">
                  <c:v>54.830921592154674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8778448"/>
        <c:axId val="328778840"/>
      </c:lineChart>
      <c:catAx>
        <c:axId val="3287784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575" b="1" i="0" u="none" strike="noStrike" baseline="0">
                    <a:solidFill>
                      <a:srgbClr val="00008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Tasa o/oo</a:t>
                </a:r>
              </a:p>
            </c:rich>
          </c:tx>
          <c:layout>
            <c:manualLayout>
              <c:xMode val="edge"/>
              <c:yMode val="edge"/>
              <c:x val="2.6915113871635612E-2"/>
              <c:y val="0.1548117154811776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1" i="1" u="none" strike="noStrike" baseline="0">
                <a:solidFill>
                  <a:srgbClr val="000080"/>
                </a:solidFill>
                <a:latin typeface="Arial"/>
                <a:ea typeface="Arial"/>
                <a:cs typeface="Arial"/>
              </a:defRPr>
            </a:pPr>
            <a:endParaRPr lang="es-CL"/>
          </a:p>
        </c:txPr>
        <c:crossAx val="3287788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28778840"/>
        <c:scaling>
          <c:orientation val="minMax"/>
          <c:max val="60"/>
          <c:min val="48"/>
        </c:scaling>
        <c:delete val="0"/>
        <c:axPos val="l"/>
        <c:majorGridlines>
          <c:spPr>
            <a:ln w="12700">
              <a:solidFill>
                <a:srgbClr val="FF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825" b="1" i="1" u="none" strike="noStrike" baseline="0">
                <a:solidFill>
                  <a:srgbClr val="000080"/>
                </a:solidFill>
                <a:latin typeface="Arial"/>
                <a:ea typeface="Arial"/>
                <a:cs typeface="Arial"/>
              </a:defRPr>
            </a:pPr>
            <a:endParaRPr lang="es-CL"/>
          </a:p>
        </c:txPr>
        <c:crossAx val="328778448"/>
        <c:crosses val="autoZero"/>
        <c:crossBetween val="between"/>
        <c:majorUnit val="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E3E3E3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4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L"/>
    </a:p>
  </c:txPr>
  <c:printSettings>
    <c:headerFooter alignWithMargins="0"/>
    <c:pageMargins b="1" l="0.75000000000001465" r="0.75000000000001465" t="1" header="0.5" footer="0.5"/>
    <c:pageSetup paperSize="9" orientation="landscape" horizontalDpi="300" verticalDpi="300" copies="0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333399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TASA DE  FECUNDIDAD   SEGÚN COMUNAS  AÑO 2013
SERVICIO DE SALUD ACONCAGUA</a:t>
            </a:r>
          </a:p>
        </c:rich>
      </c:tx>
      <c:layout>
        <c:manualLayout>
          <c:xMode val="edge"/>
          <c:yMode val="edge"/>
          <c:x val="0.18969072164948453"/>
          <c:y val="4.23728813559353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5979381443298971E-2"/>
          <c:y val="0.22033898305084745"/>
          <c:w val="0.92577319587628859"/>
          <c:h val="0.66949152542375334"/>
        </c:manualLayout>
      </c:layout>
      <c:barChart>
        <c:barDir val="col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8080FF"/>
                </a:gs>
                <a:gs pos="100000">
                  <a:srgbClr val="8080FF">
                    <a:gamma/>
                    <a:tint val="0"/>
                    <a:invGamma/>
                  </a:srgbClr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'13'!$H$19:$H$28</c:f>
              <c:strCache>
                <c:ptCount val="10"/>
                <c:pt idx="0">
                  <c:v>L.A.</c:v>
                </c:pt>
                <c:pt idx="1">
                  <c:v>S.E.</c:v>
                </c:pt>
                <c:pt idx="2">
                  <c:v>C.L.</c:v>
                </c:pt>
                <c:pt idx="3">
                  <c:v>RIN.</c:v>
                </c:pt>
                <c:pt idx="4">
                  <c:v>S.F.</c:v>
                </c:pt>
                <c:pt idx="5">
                  <c:v>PUT.</c:v>
                </c:pt>
                <c:pt idx="6">
                  <c:v>S.M.</c:v>
                </c:pt>
                <c:pt idx="7">
                  <c:v>PANQ.</c:v>
                </c:pt>
                <c:pt idx="8">
                  <c:v>LL.</c:v>
                </c:pt>
                <c:pt idx="9">
                  <c:v>CAT.</c:v>
                </c:pt>
              </c:strCache>
            </c:strRef>
          </c:cat>
          <c:val>
            <c:numRef>
              <c:f>'13'!$I$19:$I$28</c:f>
              <c:numCache>
                <c:formatCode>0.0</c:formatCode>
                <c:ptCount val="10"/>
                <c:pt idx="0">
                  <c:v>53.404309329316661</c:v>
                </c:pt>
                <c:pt idx="1">
                  <c:v>55.10600529625119</c:v>
                </c:pt>
                <c:pt idx="2">
                  <c:v>56.575496440614465</c:v>
                </c:pt>
                <c:pt idx="3">
                  <c:v>63.571694760700254</c:v>
                </c:pt>
                <c:pt idx="4">
                  <c:v>53.532357660329652</c:v>
                </c:pt>
                <c:pt idx="5">
                  <c:v>44.730782940878342</c:v>
                </c:pt>
                <c:pt idx="6">
                  <c:v>52.464884545992533</c:v>
                </c:pt>
                <c:pt idx="7">
                  <c:v>57.912190012413348</c:v>
                </c:pt>
                <c:pt idx="8">
                  <c:v>64.646431596959317</c:v>
                </c:pt>
                <c:pt idx="9">
                  <c:v>59.962695289671572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8779624"/>
        <c:axId val="328780016"/>
      </c:barChart>
      <c:catAx>
        <c:axId val="32877962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L"/>
          </a:p>
        </c:txPr>
        <c:crossAx val="32878001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28780016"/>
        <c:scaling>
          <c:orientation val="minMax"/>
          <c:min val="3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L"/>
          </a:p>
        </c:txPr>
        <c:crossAx val="328779624"/>
        <c:crosses val="autoZero"/>
        <c:crossBetween val="between"/>
      </c:valAx>
      <c:spPr>
        <a:solidFill>
          <a:srgbClr val="E3E3E3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L"/>
    </a:p>
  </c:txPr>
  <c:printSettings>
    <c:headerFooter alignWithMargins="0">
      <c:oddHeader>&amp;A</c:oddHeader>
      <c:oddFooter>Página &amp;P</c:oddFooter>
    </c:headerFooter>
    <c:pageMargins b="1" l="0.75000000000001465" r="0.75000000000001465" t="1" header="0.511811024" footer="0.511811024"/>
    <c:pageSetup orientation="landscape" horizontalDpi="300" verticalDpi="300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75" b="1" i="0" u="none" strike="noStrike" baseline="0">
                <a:solidFill>
                  <a:srgbClr val="00008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PERFIL DE  FECUNDIDAD  
SERVICIO DE SALUD  ACONCAGUA</a:t>
            </a:r>
          </a:p>
        </c:rich>
      </c:tx>
      <c:layout>
        <c:manualLayout>
          <c:xMode val="edge"/>
          <c:yMode val="edge"/>
          <c:x val="0.20911016557713807"/>
          <c:y val="4.1841004184100396E-2"/>
        </c:manualLayout>
      </c:layout>
      <c:overlay val="0"/>
      <c:spPr>
        <a:solidFill>
          <a:srgbClr val="E3E3E3"/>
        </a:solidFill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9379082919017966E-2"/>
          <c:y val="0.27196652719666942"/>
          <c:w val="0.87163737310221978"/>
          <c:h val="0.58577405857740583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numRef>
              <c:f>'13'!$H$9:$H$17</c:f>
              <c:numCache>
                <c:formatCode>General</c:formatCode>
                <c:ptCount val="9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</c:numCache>
            </c:numRef>
          </c:cat>
          <c:val>
            <c:numRef>
              <c:f>'13'!$I$9:$I$17</c:f>
              <c:numCache>
                <c:formatCode>0.0</c:formatCode>
                <c:ptCount val="9"/>
                <c:pt idx="0">
                  <c:v>50</c:v>
                </c:pt>
                <c:pt idx="1">
                  <c:v>52</c:v>
                </c:pt>
                <c:pt idx="2">
                  <c:v>52.6</c:v>
                </c:pt>
                <c:pt idx="3">
                  <c:v>51.2</c:v>
                </c:pt>
                <c:pt idx="4">
                  <c:v>50.639326189893289</c:v>
                </c:pt>
                <c:pt idx="5">
                  <c:v>54.4</c:v>
                </c:pt>
                <c:pt idx="6">
                  <c:v>53.3</c:v>
                </c:pt>
                <c:pt idx="7">
                  <c:v>51.7</c:v>
                </c:pt>
                <c:pt idx="8">
                  <c:v>54.830921592154674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8780800"/>
        <c:axId val="328781192"/>
      </c:lineChart>
      <c:catAx>
        <c:axId val="3287808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575" b="1" i="0" u="none" strike="noStrike" baseline="0">
                    <a:solidFill>
                      <a:srgbClr val="00008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Tasa o/oo</a:t>
                </a:r>
              </a:p>
            </c:rich>
          </c:tx>
          <c:layout>
            <c:manualLayout>
              <c:xMode val="edge"/>
              <c:yMode val="edge"/>
              <c:x val="2.6915113871635612E-2"/>
              <c:y val="0.1548117154811776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1" i="1" u="none" strike="noStrike" baseline="0">
                <a:solidFill>
                  <a:srgbClr val="000080"/>
                </a:solidFill>
                <a:latin typeface="Arial"/>
                <a:ea typeface="Arial"/>
                <a:cs typeface="Arial"/>
              </a:defRPr>
            </a:pPr>
            <a:endParaRPr lang="es-CL"/>
          </a:p>
        </c:txPr>
        <c:crossAx val="3287811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28781192"/>
        <c:scaling>
          <c:orientation val="minMax"/>
          <c:max val="60"/>
          <c:min val="48"/>
        </c:scaling>
        <c:delete val="0"/>
        <c:axPos val="l"/>
        <c:majorGridlines>
          <c:spPr>
            <a:ln w="12700">
              <a:solidFill>
                <a:srgbClr val="FF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825" b="1" i="1" u="none" strike="noStrike" baseline="0">
                <a:solidFill>
                  <a:srgbClr val="000080"/>
                </a:solidFill>
                <a:latin typeface="Arial"/>
                <a:ea typeface="Arial"/>
                <a:cs typeface="Arial"/>
              </a:defRPr>
            </a:pPr>
            <a:endParaRPr lang="es-CL"/>
          </a:p>
        </c:txPr>
        <c:crossAx val="328780800"/>
        <c:crosses val="autoZero"/>
        <c:crossBetween val="between"/>
        <c:majorUnit val="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E3E3E3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4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L"/>
    </a:p>
  </c:txPr>
  <c:printSettings>
    <c:headerFooter alignWithMargins="0"/>
    <c:pageMargins b="1" l="0.75000000000001465" r="0.75000000000001465" t="1" header="0.5" footer="0.5"/>
    <c:pageSetup paperSize="9" orientation="landscape" horizontalDpi="300" verticalDpi="300" copies="0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333399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TASA DE  FECUNDIDAD   SEGÚN COMUNAS  AÑO 2014
SERVICIO DE SALUD ACONCAGUA</a:t>
            </a:r>
          </a:p>
        </c:rich>
      </c:tx>
      <c:layout>
        <c:manualLayout>
          <c:xMode val="edge"/>
          <c:yMode val="edge"/>
          <c:x val="0.18969072164948453"/>
          <c:y val="4.23728813559353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5979381443298971E-2"/>
          <c:y val="0.22033898305084745"/>
          <c:w val="0.92577319587628859"/>
          <c:h val="0.66949152542375334"/>
        </c:manualLayout>
      </c:layout>
      <c:barChart>
        <c:barDir val="col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8080FF"/>
                </a:gs>
                <a:gs pos="100000">
                  <a:srgbClr val="8080FF">
                    <a:gamma/>
                    <a:tint val="0"/>
                    <a:invGamma/>
                  </a:srgbClr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'13'!$H$19:$H$28</c:f>
              <c:strCache>
                <c:ptCount val="10"/>
                <c:pt idx="0">
                  <c:v>L.A.</c:v>
                </c:pt>
                <c:pt idx="1">
                  <c:v>S.E.</c:v>
                </c:pt>
                <c:pt idx="2">
                  <c:v>C.L.</c:v>
                </c:pt>
                <c:pt idx="3">
                  <c:v>RIN.</c:v>
                </c:pt>
                <c:pt idx="4">
                  <c:v>S.F.</c:v>
                </c:pt>
                <c:pt idx="5">
                  <c:v>PUT.</c:v>
                </c:pt>
                <c:pt idx="6">
                  <c:v>S.M.</c:v>
                </c:pt>
                <c:pt idx="7">
                  <c:v>PANQ.</c:v>
                </c:pt>
                <c:pt idx="8">
                  <c:v>LL.</c:v>
                </c:pt>
                <c:pt idx="9">
                  <c:v>CAT.</c:v>
                </c:pt>
              </c:strCache>
            </c:strRef>
          </c:cat>
          <c:val>
            <c:numRef>
              <c:f>'13'!$I$19:$I$28</c:f>
              <c:numCache>
                <c:formatCode>0.0</c:formatCode>
                <c:ptCount val="10"/>
                <c:pt idx="0">
                  <c:v>53.404309329316661</c:v>
                </c:pt>
                <c:pt idx="1">
                  <c:v>55.10600529625119</c:v>
                </c:pt>
                <c:pt idx="2">
                  <c:v>56.575496440614465</c:v>
                </c:pt>
                <c:pt idx="3">
                  <c:v>63.571694760700254</c:v>
                </c:pt>
                <c:pt idx="4">
                  <c:v>53.532357660329652</c:v>
                </c:pt>
                <c:pt idx="5">
                  <c:v>44.730782940878342</c:v>
                </c:pt>
                <c:pt idx="6">
                  <c:v>52.464884545992533</c:v>
                </c:pt>
                <c:pt idx="7">
                  <c:v>57.912190012413348</c:v>
                </c:pt>
                <c:pt idx="8">
                  <c:v>64.646431596959317</c:v>
                </c:pt>
                <c:pt idx="9">
                  <c:v>59.962695289671572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9212296"/>
        <c:axId val="329212688"/>
      </c:barChart>
      <c:catAx>
        <c:axId val="32921229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L"/>
          </a:p>
        </c:txPr>
        <c:crossAx val="32921268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29212688"/>
        <c:scaling>
          <c:orientation val="minMax"/>
          <c:min val="3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L"/>
          </a:p>
        </c:txPr>
        <c:crossAx val="329212296"/>
        <c:crosses val="autoZero"/>
        <c:crossBetween val="between"/>
      </c:valAx>
      <c:spPr>
        <a:solidFill>
          <a:srgbClr val="E3E3E3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L"/>
    </a:p>
  </c:txPr>
  <c:printSettings>
    <c:headerFooter alignWithMargins="0">
      <c:oddHeader>&amp;A</c:oddHeader>
      <c:oddFooter>Página &amp;P</c:oddFooter>
    </c:headerFooter>
    <c:pageMargins b="1" l="0.75000000000001465" r="0.75000000000001465" t="1" header="0.511811024" footer="0.511811024"/>
    <c:pageSetup orientation="landscape" horizontalDpi="300" verticalDpi="300"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4794816414687012E-2"/>
          <c:y val="0.25352170793378631"/>
          <c:w val="0.91792656587470856"/>
          <c:h val="0.56338157318619164"/>
        </c:manualLayout>
      </c:layout>
      <c:lineChart>
        <c:grouping val="standard"/>
        <c:varyColors val="0"/>
        <c:ser>
          <c:idx val="0"/>
          <c:order val="0"/>
          <c:tx>
            <c:v>PAIS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'17'!$A$11:$A$20</c:f>
              <c:numCache>
                <c:formatCode>General</c:formatCode>
                <c:ptCount val="10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</c:numCache>
            </c:numRef>
          </c:cat>
          <c:val>
            <c:numRef>
              <c:f>'17'!$C$11:$C$19</c:f>
              <c:numCache>
                <c:formatCode>0.0</c:formatCode>
                <c:ptCount val="9"/>
                <c:pt idx="0">
                  <c:v>14.936733730129896</c:v>
                </c:pt>
                <c:pt idx="1">
                  <c:v>14.821750860511198</c:v>
                </c:pt>
                <c:pt idx="2">
                  <c:v>14.583258274423889</c:v>
                </c:pt>
                <c:pt idx="3">
                  <c:v>14.815906253299584</c:v>
                </c:pt>
                <c:pt idx="4">
                  <c:v>14.899987731020252</c:v>
                </c:pt>
                <c:pt idx="5">
                  <c:v>14.694924088598109</c:v>
                </c:pt>
                <c:pt idx="6">
                  <c:v>14.429064640590893</c:v>
                </c:pt>
                <c:pt idx="7">
                  <c:v>13.999895418106343</c:v>
                </c:pt>
              </c:numCache>
            </c:numRef>
          </c:val>
          <c:smooth val="0"/>
        </c:ser>
        <c:ser>
          <c:idx val="1"/>
          <c:order val="1"/>
          <c:tx>
            <c:v>REGION</c:v>
          </c:tx>
          <c:spPr>
            <a:ln w="38100">
              <a:solidFill>
                <a:srgbClr val="333399"/>
              </a:solidFill>
              <a:prstDash val="solid"/>
            </a:ln>
          </c:spPr>
          <c:marker>
            <c:symbol val="none"/>
          </c:marker>
          <c:cat>
            <c:numRef>
              <c:f>'17'!$A$11:$A$20</c:f>
              <c:numCache>
                <c:formatCode>General</c:formatCode>
                <c:ptCount val="10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</c:numCache>
            </c:numRef>
          </c:cat>
          <c:val>
            <c:numRef>
              <c:f>'17'!$E$11:$E$19</c:f>
              <c:numCache>
                <c:formatCode>0.0</c:formatCode>
                <c:ptCount val="9"/>
                <c:pt idx="0">
                  <c:v>14.077035775373668</c:v>
                </c:pt>
                <c:pt idx="1">
                  <c:v>13.562979896016957</c:v>
                </c:pt>
                <c:pt idx="2">
                  <c:v>13.408625086919184</c:v>
                </c:pt>
                <c:pt idx="3">
                  <c:v>13.485506117676051</c:v>
                </c:pt>
                <c:pt idx="4">
                  <c:v>13.641776770298573</c:v>
                </c:pt>
                <c:pt idx="5">
                  <c:v>13.540499565987766</c:v>
                </c:pt>
                <c:pt idx="6">
                  <c:v>13.330182787895154</c:v>
                </c:pt>
                <c:pt idx="7">
                  <c:v>13.152611839522432</c:v>
                </c:pt>
              </c:numCache>
            </c:numRef>
          </c:val>
          <c:smooth val="0"/>
        </c:ser>
        <c:ser>
          <c:idx val="2"/>
          <c:order val="2"/>
          <c:tx>
            <c:v>S. SALUD</c:v>
          </c:tx>
          <c:spPr>
            <a:ln w="38100">
              <a:solidFill>
                <a:srgbClr val="336666"/>
              </a:solidFill>
              <a:prstDash val="solid"/>
            </a:ln>
          </c:spPr>
          <c:marker>
            <c:symbol val="none"/>
          </c:marker>
          <c:cat>
            <c:numRef>
              <c:f>'17'!$A$11:$A$20</c:f>
              <c:numCache>
                <c:formatCode>General</c:formatCode>
                <c:ptCount val="10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</c:numCache>
            </c:numRef>
          </c:cat>
          <c:val>
            <c:numRef>
              <c:f>'17'!$G$11:$G$20</c:f>
              <c:numCache>
                <c:formatCode>0.0</c:formatCode>
                <c:ptCount val="10"/>
                <c:pt idx="0">
                  <c:v>14.973475557583708</c:v>
                </c:pt>
                <c:pt idx="1">
                  <c:v>14.225174296581615</c:v>
                </c:pt>
                <c:pt idx="2">
                  <c:v>14.325055752640811</c:v>
                </c:pt>
                <c:pt idx="3">
                  <c:v>14.363156369219681</c:v>
                </c:pt>
                <c:pt idx="4">
                  <c:v>14.317040062187466</c:v>
                </c:pt>
                <c:pt idx="5">
                  <c:v>14.991255737229176</c:v>
                </c:pt>
                <c:pt idx="6">
                  <c:v>13.959879502608512</c:v>
                </c:pt>
                <c:pt idx="7">
                  <c:v>13.549225118695691</c:v>
                </c:pt>
                <c:pt idx="8">
                  <c:v>13.020996726297025</c:v>
                </c:pt>
                <c:pt idx="9">
                  <c:v>13.698680137826315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9213472"/>
        <c:axId val="329213864"/>
      </c:lineChart>
      <c:catAx>
        <c:axId val="3292134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0/00</a:t>
                </a:r>
              </a:p>
            </c:rich>
          </c:tx>
          <c:layout>
            <c:manualLayout>
              <c:xMode val="edge"/>
              <c:yMode val="edge"/>
              <c:x val="5.3995680345572524E-3"/>
              <c:y val="0.1150237206264750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1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L"/>
          </a:p>
        </c:txPr>
        <c:crossAx val="3292138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29213864"/>
        <c:scaling>
          <c:orientation val="minMax"/>
          <c:max val="17"/>
          <c:min val="12"/>
        </c:scaling>
        <c:delete val="0"/>
        <c:axPos val="l"/>
        <c:majorGridlines>
          <c:spPr>
            <a:ln w="12700">
              <a:solidFill>
                <a:srgbClr val="FF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200" b="1" i="1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L"/>
          </a:p>
        </c:txPr>
        <c:crossAx val="32921347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2721382289417916"/>
          <c:y val="0.9108000936502656"/>
          <c:w val="0.32829373650107879"/>
          <c:h val="6.3380528138208103E-2"/>
        </c:manualLayout>
      </c:layout>
      <c:overlay val="0"/>
      <c:spPr>
        <a:noFill/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5" b="1" i="1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L"/>
        </a:p>
      </c:txPr>
    </c:legend>
    <c:plotVisOnly val="1"/>
    <c:dispBlanksAs val="gap"/>
    <c:showDLblsOverMax val="0"/>
  </c:chart>
  <c:spPr>
    <a:gradFill rotWithShape="0">
      <a:gsLst>
        <a:gs pos="0">
          <a:srgbClr val="C0C0C0"/>
        </a:gs>
        <a:gs pos="100000">
          <a:srgbClr val="C0C0C0">
            <a:gamma/>
            <a:tint val="0"/>
            <a:invGamma/>
          </a:srgbClr>
        </a:gs>
      </a:gsLst>
      <a:lin ang="5400000" scaled="1"/>
    </a:gra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L"/>
    </a:p>
  </c:txPr>
  <c:printSettings>
    <c:headerFooter alignWithMargins="0"/>
    <c:pageMargins b="1" l="0.75000000000001465" r="0.75000000000001465" t="1" header="0" footer="0"/>
    <c:pageSetup paperSize="9" orientation="landscape" horizontalDpi="300" verticalDpi="300"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4794816414687012E-2"/>
          <c:y val="0.25352170793378631"/>
          <c:w val="0.91792656587470856"/>
          <c:h val="0.56338157318619164"/>
        </c:manualLayout>
      </c:layout>
      <c:lineChart>
        <c:grouping val="standard"/>
        <c:varyColors val="0"/>
        <c:ser>
          <c:idx val="0"/>
          <c:order val="0"/>
          <c:tx>
            <c:v>PAIS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'17'!$A$11:$A$20</c:f>
              <c:numCache>
                <c:formatCode>General</c:formatCode>
                <c:ptCount val="10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</c:numCache>
            </c:numRef>
          </c:cat>
          <c:val>
            <c:numRef>
              <c:f>'17'!$C$11:$C$19</c:f>
              <c:numCache>
                <c:formatCode>0.0</c:formatCode>
                <c:ptCount val="9"/>
                <c:pt idx="0">
                  <c:v>14.936733730129896</c:v>
                </c:pt>
                <c:pt idx="1">
                  <c:v>14.821750860511198</c:v>
                </c:pt>
                <c:pt idx="2">
                  <c:v>14.583258274423889</c:v>
                </c:pt>
                <c:pt idx="3">
                  <c:v>14.815906253299584</c:v>
                </c:pt>
                <c:pt idx="4">
                  <c:v>14.899987731020252</c:v>
                </c:pt>
                <c:pt idx="5">
                  <c:v>14.694924088598109</c:v>
                </c:pt>
                <c:pt idx="6">
                  <c:v>14.429064640590893</c:v>
                </c:pt>
                <c:pt idx="7">
                  <c:v>13.999895418106343</c:v>
                </c:pt>
              </c:numCache>
            </c:numRef>
          </c:val>
          <c:smooth val="0"/>
        </c:ser>
        <c:ser>
          <c:idx val="1"/>
          <c:order val="1"/>
          <c:tx>
            <c:v>REGION</c:v>
          </c:tx>
          <c:spPr>
            <a:ln w="38100">
              <a:solidFill>
                <a:srgbClr val="333399"/>
              </a:solidFill>
              <a:prstDash val="solid"/>
            </a:ln>
          </c:spPr>
          <c:marker>
            <c:symbol val="none"/>
          </c:marker>
          <c:cat>
            <c:numRef>
              <c:f>'17'!$A$11:$A$20</c:f>
              <c:numCache>
                <c:formatCode>General</c:formatCode>
                <c:ptCount val="10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</c:numCache>
            </c:numRef>
          </c:cat>
          <c:val>
            <c:numRef>
              <c:f>'17'!$E$11:$E$19</c:f>
              <c:numCache>
                <c:formatCode>0.0</c:formatCode>
                <c:ptCount val="9"/>
                <c:pt idx="0">
                  <c:v>14.077035775373668</c:v>
                </c:pt>
                <c:pt idx="1">
                  <c:v>13.562979896016957</c:v>
                </c:pt>
                <c:pt idx="2">
                  <c:v>13.408625086919184</c:v>
                </c:pt>
                <c:pt idx="3">
                  <c:v>13.485506117676051</c:v>
                </c:pt>
                <c:pt idx="4">
                  <c:v>13.641776770298573</c:v>
                </c:pt>
                <c:pt idx="5">
                  <c:v>13.540499565987766</c:v>
                </c:pt>
                <c:pt idx="6">
                  <c:v>13.330182787895154</c:v>
                </c:pt>
                <c:pt idx="7">
                  <c:v>13.152611839522432</c:v>
                </c:pt>
              </c:numCache>
            </c:numRef>
          </c:val>
          <c:smooth val="0"/>
        </c:ser>
        <c:ser>
          <c:idx val="2"/>
          <c:order val="2"/>
          <c:tx>
            <c:v>S. SALUD</c:v>
          </c:tx>
          <c:spPr>
            <a:ln w="38100">
              <a:solidFill>
                <a:srgbClr val="336666"/>
              </a:solidFill>
              <a:prstDash val="solid"/>
            </a:ln>
          </c:spPr>
          <c:marker>
            <c:symbol val="none"/>
          </c:marker>
          <c:cat>
            <c:numRef>
              <c:f>'17'!$A$11:$A$20</c:f>
              <c:numCache>
                <c:formatCode>General</c:formatCode>
                <c:ptCount val="10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</c:numCache>
            </c:numRef>
          </c:cat>
          <c:val>
            <c:numRef>
              <c:f>'17'!$G$11:$G$20</c:f>
              <c:numCache>
                <c:formatCode>0.0</c:formatCode>
                <c:ptCount val="10"/>
                <c:pt idx="0">
                  <c:v>14.973475557583708</c:v>
                </c:pt>
                <c:pt idx="1">
                  <c:v>14.225174296581615</c:v>
                </c:pt>
                <c:pt idx="2">
                  <c:v>14.325055752640811</c:v>
                </c:pt>
                <c:pt idx="3">
                  <c:v>14.363156369219681</c:v>
                </c:pt>
                <c:pt idx="4">
                  <c:v>14.317040062187466</c:v>
                </c:pt>
                <c:pt idx="5">
                  <c:v>14.991255737229176</c:v>
                </c:pt>
                <c:pt idx="6">
                  <c:v>13.959879502608512</c:v>
                </c:pt>
                <c:pt idx="7">
                  <c:v>13.549225118695691</c:v>
                </c:pt>
                <c:pt idx="8">
                  <c:v>13.020996726297025</c:v>
                </c:pt>
                <c:pt idx="9">
                  <c:v>13.698680137826315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9214648"/>
        <c:axId val="329215040"/>
      </c:lineChart>
      <c:catAx>
        <c:axId val="3292146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0/00</a:t>
                </a:r>
              </a:p>
            </c:rich>
          </c:tx>
          <c:layout>
            <c:manualLayout>
              <c:xMode val="edge"/>
              <c:yMode val="edge"/>
              <c:x val="5.3995680345572524E-3"/>
              <c:y val="0.1150237206264750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1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L"/>
          </a:p>
        </c:txPr>
        <c:crossAx val="3292150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29215040"/>
        <c:scaling>
          <c:orientation val="minMax"/>
          <c:max val="17"/>
          <c:min val="12"/>
        </c:scaling>
        <c:delete val="0"/>
        <c:axPos val="l"/>
        <c:majorGridlines>
          <c:spPr>
            <a:ln w="12700">
              <a:solidFill>
                <a:srgbClr val="FF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200" b="1" i="1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L"/>
          </a:p>
        </c:txPr>
        <c:crossAx val="32921464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2721382289417916"/>
          <c:y val="0.9108000936502656"/>
          <c:w val="0.32829373650107879"/>
          <c:h val="6.3380528138208103E-2"/>
        </c:manualLayout>
      </c:layout>
      <c:overlay val="0"/>
      <c:spPr>
        <a:noFill/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5" b="1" i="1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L"/>
        </a:p>
      </c:txPr>
    </c:legend>
    <c:plotVisOnly val="1"/>
    <c:dispBlanksAs val="gap"/>
    <c:showDLblsOverMax val="0"/>
  </c:chart>
  <c:spPr>
    <a:gradFill rotWithShape="0">
      <a:gsLst>
        <a:gs pos="0">
          <a:srgbClr val="C0C0C0"/>
        </a:gs>
        <a:gs pos="100000">
          <a:srgbClr val="C0C0C0">
            <a:gamma/>
            <a:tint val="0"/>
            <a:invGamma/>
          </a:srgbClr>
        </a:gs>
      </a:gsLst>
      <a:lin ang="5400000" scaled="1"/>
    </a:gra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L"/>
    </a:p>
  </c:txPr>
  <c:printSettings>
    <c:headerFooter alignWithMargins="0"/>
    <c:pageMargins b="1" l="0.75000000000001465" r="0.75000000000001465" t="1" header="0" footer="0"/>
    <c:pageSetup paperSize="9" orientation="landscape" horizontalDpi="300" verticalDpi="300"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TASA MORT. FETAL PAIS REGION SERV. SALUD
AÑOS  2004 - 2013 (tasa  x mil nac. vivos)
 </a:t>
            </a:r>
          </a:p>
        </c:rich>
      </c:tx>
      <c:layout>
        <c:manualLayout>
          <c:xMode val="edge"/>
          <c:yMode val="edge"/>
          <c:x val="0.22083817099306527"/>
          <c:y val="3.058823529411764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3612724738067112E-2"/>
          <c:y val="0.32000000000001105"/>
          <c:w val="0.92185781441212533"/>
          <c:h val="0.47764705882351677"/>
        </c:manualLayout>
      </c:layout>
      <c:lineChart>
        <c:grouping val="standard"/>
        <c:varyColors val="0"/>
        <c:ser>
          <c:idx val="0"/>
          <c:order val="0"/>
          <c:tx>
            <c:v>PAIS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'19'!$A$11:$A$20</c:f>
              <c:numCache>
                <c:formatCode>General</c:formatCode>
                <c:ptCount val="10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</c:numCache>
            </c:numRef>
          </c:cat>
          <c:val>
            <c:numRef>
              <c:f>'19'!$C$11:$C$15</c:f>
              <c:numCache>
                <c:formatCode>0.0</c:formatCode>
                <c:ptCount val="5"/>
                <c:pt idx="4">
                  <c:v>8.9280050745321926</c:v>
                </c:pt>
              </c:numCache>
            </c:numRef>
          </c:val>
          <c:smooth val="0"/>
        </c:ser>
        <c:ser>
          <c:idx val="1"/>
          <c:order val="1"/>
          <c:tx>
            <c:v>REGION</c:v>
          </c:tx>
          <c:spPr>
            <a:ln w="38100">
              <a:solidFill>
                <a:srgbClr val="333399"/>
              </a:solidFill>
              <a:prstDash val="solid"/>
            </a:ln>
          </c:spPr>
          <c:marker>
            <c:symbol val="none"/>
          </c:marker>
          <c:cat>
            <c:numRef>
              <c:f>'19'!$A$11:$A$20</c:f>
              <c:numCache>
                <c:formatCode>General</c:formatCode>
                <c:ptCount val="10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</c:numCache>
            </c:numRef>
          </c:cat>
          <c:val>
            <c:numRef>
              <c:f>'19'!$E$11:$E$15</c:f>
              <c:numCache>
                <c:formatCode>0.0</c:formatCode>
                <c:ptCount val="5"/>
                <c:pt idx="4">
                  <c:v>6.488308405308616</c:v>
                </c:pt>
              </c:numCache>
            </c:numRef>
          </c:val>
          <c:smooth val="0"/>
        </c:ser>
        <c:ser>
          <c:idx val="2"/>
          <c:order val="2"/>
          <c:tx>
            <c:v>S. SALUD</c:v>
          </c:tx>
          <c:spPr>
            <a:ln w="38100">
              <a:solidFill>
                <a:srgbClr val="336666"/>
              </a:solidFill>
              <a:prstDash val="solid"/>
            </a:ln>
          </c:spPr>
          <c:marker>
            <c:symbol val="none"/>
          </c:marker>
          <c:cat>
            <c:numRef>
              <c:f>'19'!$A$11:$A$20</c:f>
              <c:numCache>
                <c:formatCode>General</c:formatCode>
                <c:ptCount val="10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</c:numCache>
            </c:numRef>
          </c:cat>
          <c:val>
            <c:numRef>
              <c:f>'19'!$G$11:$G$20</c:f>
              <c:numCache>
                <c:formatCode>0.0</c:formatCode>
                <c:ptCount val="10"/>
                <c:pt idx="0">
                  <c:v>14.965986394557822</c:v>
                </c:pt>
                <c:pt idx="1">
                  <c:v>11.305822498586773</c:v>
                </c:pt>
                <c:pt idx="2">
                  <c:v>16.066481994459835</c:v>
                </c:pt>
                <c:pt idx="3">
                  <c:v>14.180529042814289</c:v>
                </c:pt>
                <c:pt idx="4">
                  <c:v>8.9141004862236635</c:v>
                </c:pt>
                <c:pt idx="5">
                  <c:v>7.6413652572592969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8926912"/>
        <c:axId val="328927304"/>
      </c:lineChart>
      <c:catAx>
        <c:axId val="3289269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0/00</a:t>
                </a:r>
              </a:p>
            </c:rich>
          </c:tx>
          <c:layout>
            <c:manualLayout>
              <c:xMode val="edge"/>
              <c:yMode val="edge"/>
              <c:x val="5.6625141562853245E-3"/>
              <c:y val="0.1858823529411769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1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L"/>
          </a:p>
        </c:txPr>
        <c:crossAx val="3289273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28927304"/>
        <c:scaling>
          <c:orientation val="minMax"/>
          <c:max val="18"/>
          <c:min val="2"/>
        </c:scaling>
        <c:delete val="0"/>
        <c:axPos val="l"/>
        <c:majorGridlines>
          <c:spPr>
            <a:ln w="12700">
              <a:solidFill>
                <a:srgbClr val="FF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200" b="1" i="1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L"/>
          </a:p>
        </c:txPr>
        <c:crossAx val="328926912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36579865229190633"/>
          <c:y val="0.92941176470588238"/>
          <c:w val="0.34428109849802174"/>
          <c:h val="6.3529411764710053E-2"/>
        </c:manualLayout>
      </c:layout>
      <c:overlay val="0"/>
      <c:spPr>
        <a:noFill/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5" b="1" i="1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L"/>
        </a:p>
      </c:txPr>
    </c:legend>
    <c:plotVisOnly val="1"/>
    <c:dispBlanksAs val="gap"/>
    <c:showDLblsOverMax val="0"/>
  </c:chart>
  <c:spPr>
    <a:gradFill rotWithShape="0">
      <a:gsLst>
        <a:gs pos="0">
          <a:srgbClr val="C0C0C0"/>
        </a:gs>
        <a:gs pos="100000">
          <a:srgbClr val="C0C0C0">
            <a:gamma/>
            <a:tint val="0"/>
            <a:invGamma/>
          </a:srgbClr>
        </a:gs>
      </a:gsLst>
      <a:lin ang="5400000" scaled="1"/>
    </a:gra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25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L"/>
    </a:p>
  </c:txPr>
  <c:printSettings>
    <c:headerFooter alignWithMargins="0"/>
    <c:pageMargins b="1" l="0.75000000000001465" r="0.75000000000001465" t="1" header="0" footer="0"/>
    <c:pageSetup paperSize="304" orientation="landscape" horizontalDpi="300" verticalDpi="300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TASA MORT. FETAL PAIS REGION SERV. SALUD
AÑOS  2005 - 2014 (tasa  x mil nac. vivos)
 </a:t>
            </a:r>
          </a:p>
        </c:rich>
      </c:tx>
      <c:layout>
        <c:manualLayout>
          <c:xMode val="edge"/>
          <c:yMode val="edge"/>
          <c:x val="0.22083817099306527"/>
          <c:y val="3.058823529411764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3612724738067112E-2"/>
          <c:y val="0.32000000000001105"/>
          <c:w val="0.92185781441212533"/>
          <c:h val="0.47764705882351677"/>
        </c:manualLayout>
      </c:layout>
      <c:lineChart>
        <c:grouping val="standard"/>
        <c:varyColors val="0"/>
        <c:ser>
          <c:idx val="0"/>
          <c:order val="0"/>
          <c:tx>
            <c:v>PAIS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'19'!$A$11:$A$20</c:f>
              <c:numCache>
                <c:formatCode>General</c:formatCode>
                <c:ptCount val="10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</c:numCache>
            </c:numRef>
          </c:cat>
          <c:val>
            <c:numRef>
              <c:f>'19'!$C$11:$C$15</c:f>
              <c:numCache>
                <c:formatCode>0.0</c:formatCode>
                <c:ptCount val="5"/>
                <c:pt idx="4">
                  <c:v>8.9280050745321926</c:v>
                </c:pt>
              </c:numCache>
            </c:numRef>
          </c:val>
          <c:smooth val="0"/>
        </c:ser>
        <c:ser>
          <c:idx val="1"/>
          <c:order val="1"/>
          <c:tx>
            <c:v>REGION</c:v>
          </c:tx>
          <c:spPr>
            <a:ln w="38100">
              <a:solidFill>
                <a:srgbClr val="333399"/>
              </a:solidFill>
              <a:prstDash val="solid"/>
            </a:ln>
          </c:spPr>
          <c:marker>
            <c:symbol val="none"/>
          </c:marker>
          <c:cat>
            <c:numRef>
              <c:f>'19'!$A$11:$A$20</c:f>
              <c:numCache>
                <c:formatCode>General</c:formatCode>
                <c:ptCount val="10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</c:numCache>
            </c:numRef>
          </c:cat>
          <c:val>
            <c:numRef>
              <c:f>'19'!$E$11:$E$15</c:f>
              <c:numCache>
                <c:formatCode>0.0</c:formatCode>
                <c:ptCount val="5"/>
                <c:pt idx="4">
                  <c:v>6.488308405308616</c:v>
                </c:pt>
              </c:numCache>
            </c:numRef>
          </c:val>
          <c:smooth val="0"/>
        </c:ser>
        <c:ser>
          <c:idx val="2"/>
          <c:order val="2"/>
          <c:tx>
            <c:v>S. SALUD</c:v>
          </c:tx>
          <c:spPr>
            <a:ln w="38100">
              <a:solidFill>
                <a:srgbClr val="336666"/>
              </a:solidFill>
              <a:prstDash val="solid"/>
            </a:ln>
          </c:spPr>
          <c:marker>
            <c:symbol val="none"/>
          </c:marker>
          <c:cat>
            <c:numRef>
              <c:f>'19'!$A$11:$A$20</c:f>
              <c:numCache>
                <c:formatCode>General</c:formatCode>
                <c:ptCount val="10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</c:numCache>
            </c:numRef>
          </c:cat>
          <c:val>
            <c:numRef>
              <c:f>'19'!$G$11:$G$20</c:f>
              <c:numCache>
                <c:formatCode>0.0</c:formatCode>
                <c:ptCount val="10"/>
                <c:pt idx="0">
                  <c:v>14.965986394557822</c:v>
                </c:pt>
                <c:pt idx="1">
                  <c:v>11.305822498586773</c:v>
                </c:pt>
                <c:pt idx="2">
                  <c:v>16.066481994459835</c:v>
                </c:pt>
                <c:pt idx="3">
                  <c:v>14.180529042814289</c:v>
                </c:pt>
                <c:pt idx="4">
                  <c:v>8.9141004862236635</c:v>
                </c:pt>
                <c:pt idx="5">
                  <c:v>7.6413652572592969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8928088"/>
        <c:axId val="328928480"/>
      </c:lineChart>
      <c:catAx>
        <c:axId val="3289280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0/00</a:t>
                </a:r>
              </a:p>
            </c:rich>
          </c:tx>
          <c:layout>
            <c:manualLayout>
              <c:xMode val="edge"/>
              <c:yMode val="edge"/>
              <c:x val="5.6625141562853245E-3"/>
              <c:y val="0.1858823529411769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1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L"/>
          </a:p>
        </c:txPr>
        <c:crossAx val="3289284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28928480"/>
        <c:scaling>
          <c:orientation val="minMax"/>
          <c:max val="18"/>
          <c:min val="2"/>
        </c:scaling>
        <c:delete val="0"/>
        <c:axPos val="l"/>
        <c:majorGridlines>
          <c:spPr>
            <a:ln w="12700">
              <a:solidFill>
                <a:srgbClr val="FF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200" b="1" i="1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L"/>
          </a:p>
        </c:txPr>
        <c:crossAx val="328928088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36579865229190633"/>
          <c:y val="0.92941176470588238"/>
          <c:w val="0.34428109849802174"/>
          <c:h val="6.3529411764710053E-2"/>
        </c:manualLayout>
      </c:layout>
      <c:overlay val="0"/>
      <c:spPr>
        <a:noFill/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5" b="1" i="1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L"/>
        </a:p>
      </c:txPr>
    </c:legend>
    <c:plotVisOnly val="1"/>
    <c:dispBlanksAs val="gap"/>
    <c:showDLblsOverMax val="0"/>
  </c:chart>
  <c:spPr>
    <a:gradFill rotWithShape="0">
      <a:gsLst>
        <a:gs pos="0">
          <a:srgbClr val="C0C0C0"/>
        </a:gs>
        <a:gs pos="100000">
          <a:srgbClr val="C0C0C0">
            <a:gamma/>
            <a:tint val="0"/>
            <a:invGamma/>
          </a:srgbClr>
        </a:gs>
      </a:gsLst>
      <a:lin ang="5400000" scaled="1"/>
    </a:gra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25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L"/>
    </a:p>
  </c:txPr>
  <c:printSettings>
    <c:headerFooter alignWithMargins="0"/>
    <c:pageMargins b="1" l="0.75000000000001465" r="0.75000000000001465" t="1" header="0" footer="0"/>
    <c:pageSetup paperSize="304" orientation="landscape" horizontalDpi="300" verticalDpi="300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TASA MORT. PERINATAL PAIS REGION SERV. SALUD
AÑOS  2004 - 2013 (tasa x mil nac. vivos)
 </a:t>
            </a:r>
          </a:p>
        </c:rich>
      </c:tx>
      <c:layout>
        <c:manualLayout>
          <c:xMode val="edge"/>
          <c:yMode val="edge"/>
          <c:x val="0.1911265187414713"/>
          <c:y val="3.167420814479639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3.7542703825707291E-2"/>
          <c:y val="0.26470617477615815"/>
          <c:w val="0.94766885717620064"/>
          <c:h val="0.59502328176176833"/>
        </c:manualLayout>
      </c:layout>
      <c:lineChart>
        <c:grouping val="standard"/>
        <c:varyColors val="0"/>
        <c:ser>
          <c:idx val="0"/>
          <c:order val="0"/>
          <c:tx>
            <c:v>PAIS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'21'!$A$11:$A$20</c:f>
              <c:numCache>
                <c:formatCode>General</c:formatCode>
                <c:ptCount val="10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</c:numCache>
            </c:numRef>
          </c:cat>
          <c:val>
            <c:numRef>
              <c:f>'21'!$C$11:$C$16</c:f>
              <c:numCache>
                <c:formatCode>0.0</c:formatCode>
                <c:ptCount val="6"/>
                <c:pt idx="4">
                  <c:v>10.442435775451951</c:v>
                </c:pt>
                <c:pt idx="5">
                  <c:v>9.4108654891142081</c:v>
                </c:pt>
              </c:numCache>
            </c:numRef>
          </c:val>
          <c:smooth val="0"/>
        </c:ser>
        <c:ser>
          <c:idx val="1"/>
          <c:order val="1"/>
          <c:tx>
            <c:v>REGION</c:v>
          </c:tx>
          <c:spPr>
            <a:ln w="38100">
              <a:solidFill>
                <a:srgbClr val="333399"/>
              </a:solidFill>
              <a:prstDash val="solid"/>
            </a:ln>
          </c:spPr>
          <c:marker>
            <c:symbol val="none"/>
          </c:marker>
          <c:cat>
            <c:numRef>
              <c:f>'21'!$A$11:$A$20</c:f>
              <c:numCache>
                <c:formatCode>General</c:formatCode>
                <c:ptCount val="10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</c:numCache>
            </c:numRef>
          </c:cat>
          <c:val>
            <c:numRef>
              <c:f>'21'!$E$11:$E$14</c:f>
              <c:numCache>
                <c:formatCode>0.0</c:formatCode>
                <c:ptCount val="4"/>
              </c:numCache>
            </c:numRef>
          </c:val>
          <c:smooth val="0"/>
        </c:ser>
        <c:ser>
          <c:idx val="2"/>
          <c:order val="2"/>
          <c:tx>
            <c:v>S. SALUD</c:v>
          </c:tx>
          <c:spPr>
            <a:ln w="38100">
              <a:solidFill>
                <a:srgbClr val="336666"/>
              </a:solidFill>
              <a:prstDash val="solid"/>
            </a:ln>
          </c:spPr>
          <c:marker>
            <c:symbol val="none"/>
          </c:marker>
          <c:cat>
            <c:numRef>
              <c:f>'21'!$A$11:$A$20</c:f>
              <c:numCache>
                <c:formatCode>General</c:formatCode>
                <c:ptCount val="10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</c:numCache>
            </c:numRef>
          </c:cat>
          <c:val>
            <c:numRef>
              <c:f>'21'!$G$11:$G$20</c:f>
              <c:numCache>
                <c:formatCode>0.0</c:formatCode>
                <c:ptCount val="10"/>
                <c:pt idx="0">
                  <c:v>18.2312925170068</c:v>
                </c:pt>
                <c:pt idx="1">
                  <c:v>15.545505935556813</c:v>
                </c:pt>
                <c:pt idx="2">
                  <c:v>22.437673130193907</c:v>
                </c:pt>
                <c:pt idx="3">
                  <c:v>18.543768748295609</c:v>
                </c:pt>
                <c:pt idx="4">
                  <c:v>12.695840086439761</c:v>
                </c:pt>
                <c:pt idx="5">
                  <c:v>14.009169638308711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8929264"/>
        <c:axId val="328929656"/>
      </c:lineChart>
      <c:catAx>
        <c:axId val="3289292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0/00</a:t>
                </a:r>
              </a:p>
            </c:rich>
          </c:tx>
          <c:layout>
            <c:manualLayout>
              <c:xMode val="edge"/>
              <c:yMode val="edge"/>
              <c:x val="5.6882821387942133E-3"/>
              <c:y val="0.178733269201078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1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L"/>
          </a:p>
        </c:txPr>
        <c:crossAx val="3289296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28929656"/>
        <c:scaling>
          <c:orientation val="minMax"/>
          <c:max val="25"/>
          <c:min val="4"/>
        </c:scaling>
        <c:delete val="0"/>
        <c:axPos val="l"/>
        <c:majorGridlines>
          <c:spPr>
            <a:ln w="12700">
              <a:solidFill>
                <a:srgbClr val="FF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1" i="1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L"/>
          </a:p>
        </c:txPr>
        <c:crossAx val="328929264"/>
        <c:crosses val="autoZero"/>
        <c:crossBetween val="between"/>
        <c:majorUnit val="4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31740650166171147"/>
          <c:y val="0.93891497725680262"/>
          <c:w val="0.34584791235567741"/>
          <c:h val="5.4298642533933933E-2"/>
        </c:manualLayout>
      </c:layout>
      <c:overlay val="0"/>
      <c:spPr>
        <a:noFill/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5" b="1" i="1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L"/>
        </a:p>
      </c:txPr>
    </c:legend>
    <c:plotVisOnly val="1"/>
    <c:dispBlanksAs val="gap"/>
    <c:showDLblsOverMax val="0"/>
  </c:chart>
  <c:spPr>
    <a:gradFill rotWithShape="0">
      <a:gsLst>
        <a:gs pos="0">
          <a:srgbClr val="C0C0C0"/>
        </a:gs>
        <a:gs pos="100000">
          <a:srgbClr val="C0C0C0">
            <a:gamma/>
            <a:tint val="0"/>
            <a:invGamma/>
          </a:srgbClr>
        </a:gs>
      </a:gsLst>
      <a:lin ang="5400000" scaled="1"/>
    </a:gra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26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L"/>
    </a:p>
  </c:txPr>
  <c:printSettings>
    <c:headerFooter alignWithMargins="0"/>
    <c:pageMargins b="1" l="0.75000000000001465" r="0.75000000000001465" t="1" header="0" footer="0"/>
    <c:pageSetup paperSize="9" orientation="landscape" horizontalDpi="300" verticalDpi="300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333399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RURALIDAD SEGÚN COMUNAS  AÑO 2014
SERVICIO DE SALUD ACONCAGUA</a:t>
            </a:r>
          </a:p>
        </c:rich>
      </c:tx>
      <c:layout>
        <c:manualLayout>
          <c:xMode val="edge"/>
          <c:yMode val="edge"/>
          <c:x val="0.26069246435846088"/>
          <c:y val="4.054054054054054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5173116089613028E-2"/>
          <c:y val="0.23423526461880903"/>
          <c:w val="0.92668024439920005"/>
          <c:h val="0.66216507498011901"/>
        </c:manualLayout>
      </c:layout>
      <c:barChart>
        <c:barDir val="col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8080FF"/>
                </a:gs>
                <a:gs pos="100000">
                  <a:srgbClr val="8080FF">
                    <a:gamma/>
                    <a:tint val="0"/>
                    <a:invGamma/>
                  </a:srgbClr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'6'!$I$12:$I$21</c:f>
              <c:strCache>
                <c:ptCount val="10"/>
                <c:pt idx="0">
                  <c:v>  LOS ANDES</c:v>
                </c:pt>
                <c:pt idx="1">
                  <c:v>  SAN EST.</c:v>
                </c:pt>
                <c:pt idx="2">
                  <c:v>  CALLE L.</c:v>
                </c:pt>
                <c:pt idx="3">
                  <c:v>  RINCO.</c:v>
                </c:pt>
                <c:pt idx="4">
                  <c:v>  SAN FELIPE</c:v>
                </c:pt>
                <c:pt idx="5">
                  <c:v>  PUTAENDO</c:v>
                </c:pt>
                <c:pt idx="6">
                  <c:v>  STA.  MARIA</c:v>
                </c:pt>
                <c:pt idx="7">
                  <c:v>  PANQ.</c:v>
                </c:pt>
                <c:pt idx="8">
                  <c:v>  LLAY - LLAY</c:v>
                </c:pt>
                <c:pt idx="9">
                  <c:v>  CATEMU</c:v>
                </c:pt>
              </c:strCache>
            </c:strRef>
          </c:cat>
          <c:val>
            <c:numRef>
              <c:f>'6'!$J$12:$J$21</c:f>
              <c:numCache>
                <c:formatCode>0.0</c:formatCode>
                <c:ptCount val="10"/>
                <c:pt idx="0">
                  <c:v>7.1</c:v>
                </c:pt>
                <c:pt idx="1">
                  <c:v>47.599999999999994</c:v>
                </c:pt>
                <c:pt idx="2">
                  <c:v>47.5</c:v>
                </c:pt>
                <c:pt idx="3">
                  <c:v>14.42</c:v>
                </c:pt>
                <c:pt idx="4">
                  <c:v>10</c:v>
                </c:pt>
                <c:pt idx="5">
                  <c:v>56.999999999999993</c:v>
                </c:pt>
                <c:pt idx="6">
                  <c:v>38</c:v>
                </c:pt>
                <c:pt idx="7">
                  <c:v>55.000000000000007</c:v>
                </c:pt>
                <c:pt idx="8">
                  <c:v>25</c:v>
                </c:pt>
                <c:pt idx="9">
                  <c:v>45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95135240"/>
        <c:axId val="293933664"/>
      </c:barChart>
      <c:catAx>
        <c:axId val="29513524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5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L"/>
          </a:p>
        </c:txPr>
        <c:crossAx val="29393366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93933664"/>
        <c:scaling>
          <c:orientation val="minMax"/>
          <c:max val="65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L"/>
          </a:p>
        </c:txPr>
        <c:crossAx val="295135240"/>
        <c:crosses val="autoZero"/>
        <c:crossBetween val="between"/>
        <c:majorUnit val="10"/>
      </c:valAx>
      <c:spPr>
        <a:solidFill>
          <a:srgbClr val="E3E3E3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L"/>
    </a:p>
  </c:txPr>
  <c:printSettings>
    <c:headerFooter alignWithMargins="0"/>
    <c:pageMargins b="1" l="0.75000000000001465" r="0.75000000000001465" t="1" header="0" footer="0"/>
    <c:pageSetup paperSize="9" orientation="landscape" horizontalDpi="300" verticalDpi="300"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TASA MORT. PERINATAL PAIS REGION SERV. SALUD
AÑOS  2005 - 2014 (tasa x mil nac. vivos)
 </a:t>
            </a:r>
          </a:p>
        </c:rich>
      </c:tx>
      <c:layout>
        <c:manualLayout>
          <c:xMode val="edge"/>
          <c:yMode val="edge"/>
          <c:x val="0.1911265187414713"/>
          <c:y val="3.167420814479639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3.7542703825707291E-2"/>
          <c:y val="0.26470617477615815"/>
          <c:w val="0.94766885717620064"/>
          <c:h val="0.59502328176176833"/>
        </c:manualLayout>
      </c:layout>
      <c:lineChart>
        <c:grouping val="standard"/>
        <c:varyColors val="0"/>
        <c:ser>
          <c:idx val="0"/>
          <c:order val="0"/>
          <c:tx>
            <c:v>PAIS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'21'!$A$11:$A$20</c:f>
              <c:numCache>
                <c:formatCode>General</c:formatCode>
                <c:ptCount val="10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</c:numCache>
            </c:numRef>
          </c:cat>
          <c:val>
            <c:numRef>
              <c:f>'21'!$C$11:$C$17</c:f>
              <c:numCache>
                <c:formatCode>0.0</c:formatCode>
                <c:ptCount val="7"/>
                <c:pt idx="4">
                  <c:v>10.442435775451951</c:v>
                </c:pt>
                <c:pt idx="5">
                  <c:v>9.4108654891142081</c:v>
                </c:pt>
                <c:pt idx="6">
                  <c:v>9.4905556515415128</c:v>
                </c:pt>
              </c:numCache>
            </c:numRef>
          </c:val>
          <c:smooth val="0"/>
        </c:ser>
        <c:ser>
          <c:idx val="1"/>
          <c:order val="1"/>
          <c:tx>
            <c:v>REGION</c:v>
          </c:tx>
          <c:spPr>
            <a:ln w="38100">
              <a:solidFill>
                <a:srgbClr val="333399"/>
              </a:solidFill>
              <a:prstDash val="solid"/>
            </a:ln>
          </c:spPr>
          <c:marker>
            <c:symbol val="none"/>
          </c:marker>
          <c:cat>
            <c:numRef>
              <c:f>'21'!$A$11:$A$20</c:f>
              <c:numCache>
                <c:formatCode>General</c:formatCode>
                <c:ptCount val="10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</c:numCache>
            </c:numRef>
          </c:cat>
          <c:val>
            <c:numRef>
              <c:f>'21'!$E$11:$E$17</c:f>
              <c:numCache>
                <c:formatCode>0.0</c:formatCode>
                <c:ptCount val="7"/>
                <c:pt idx="4">
                  <c:v>9.3954076258689696</c:v>
                </c:pt>
                <c:pt idx="5">
                  <c:v>8.5222502099076394</c:v>
                </c:pt>
                <c:pt idx="6">
                  <c:v>8.6519794040685412</c:v>
                </c:pt>
              </c:numCache>
            </c:numRef>
          </c:val>
          <c:smooth val="0"/>
        </c:ser>
        <c:ser>
          <c:idx val="2"/>
          <c:order val="2"/>
          <c:tx>
            <c:v>S. SALUD</c:v>
          </c:tx>
          <c:spPr>
            <a:ln w="38100">
              <a:solidFill>
                <a:srgbClr val="336666"/>
              </a:solidFill>
              <a:prstDash val="solid"/>
            </a:ln>
          </c:spPr>
          <c:marker>
            <c:symbol val="none"/>
          </c:marker>
          <c:cat>
            <c:numRef>
              <c:f>'21'!$A$11:$A$20</c:f>
              <c:numCache>
                <c:formatCode>General</c:formatCode>
                <c:ptCount val="10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</c:numCache>
            </c:numRef>
          </c:cat>
          <c:val>
            <c:numRef>
              <c:f>'21'!$G$11:$G$20</c:f>
              <c:numCache>
                <c:formatCode>0.0</c:formatCode>
                <c:ptCount val="10"/>
                <c:pt idx="0">
                  <c:v>18.2312925170068</c:v>
                </c:pt>
                <c:pt idx="1">
                  <c:v>15.545505935556813</c:v>
                </c:pt>
                <c:pt idx="2">
                  <c:v>22.437673130193907</c:v>
                </c:pt>
                <c:pt idx="3">
                  <c:v>18.543768748295609</c:v>
                </c:pt>
                <c:pt idx="4">
                  <c:v>12.695840086439761</c:v>
                </c:pt>
                <c:pt idx="5">
                  <c:v>14.009169638308711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9821184"/>
        <c:axId val="329821576"/>
      </c:lineChart>
      <c:catAx>
        <c:axId val="3298211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0/00</a:t>
                </a:r>
              </a:p>
            </c:rich>
          </c:tx>
          <c:layout>
            <c:manualLayout>
              <c:xMode val="edge"/>
              <c:yMode val="edge"/>
              <c:x val="5.6882821387942133E-3"/>
              <c:y val="0.178733269201078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1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L"/>
          </a:p>
        </c:txPr>
        <c:crossAx val="3298215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29821576"/>
        <c:scaling>
          <c:orientation val="minMax"/>
          <c:max val="25"/>
          <c:min val="4"/>
        </c:scaling>
        <c:delete val="0"/>
        <c:axPos val="l"/>
        <c:majorGridlines>
          <c:spPr>
            <a:ln w="12700">
              <a:solidFill>
                <a:srgbClr val="FF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1" i="1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L"/>
          </a:p>
        </c:txPr>
        <c:crossAx val="329821184"/>
        <c:crosses val="autoZero"/>
        <c:crossBetween val="between"/>
        <c:majorUnit val="4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31740650166171147"/>
          <c:y val="0.93891497725680262"/>
          <c:w val="0.34584791235567741"/>
          <c:h val="5.4298642533933933E-2"/>
        </c:manualLayout>
      </c:layout>
      <c:overlay val="0"/>
      <c:spPr>
        <a:noFill/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5" b="1" i="1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L"/>
        </a:p>
      </c:txPr>
    </c:legend>
    <c:plotVisOnly val="1"/>
    <c:dispBlanksAs val="gap"/>
    <c:showDLblsOverMax val="0"/>
  </c:chart>
  <c:spPr>
    <a:gradFill rotWithShape="0">
      <a:gsLst>
        <a:gs pos="0">
          <a:srgbClr val="C0C0C0"/>
        </a:gs>
        <a:gs pos="100000">
          <a:srgbClr val="C0C0C0">
            <a:gamma/>
            <a:tint val="0"/>
            <a:invGamma/>
          </a:srgbClr>
        </a:gs>
      </a:gsLst>
      <a:lin ang="5400000" scaled="1"/>
    </a:gra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26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L"/>
    </a:p>
  </c:txPr>
  <c:printSettings>
    <c:headerFooter alignWithMargins="0"/>
    <c:pageMargins b="1" l="0.75000000000001465" r="0.75000000000001465" t="1" header="0" footer="0"/>
    <c:pageSetup paperSize="9" orientation="landscape" horizontalDpi="300" verticalDpi="300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TASA MORT. NEO-PRECOZ PAIS REGION SERV. SALUD
AÑOS  2004 - 2013 (tasa x mil nac. vivos)
 </a:t>
            </a:r>
          </a:p>
        </c:rich>
      </c:tx>
      <c:layout>
        <c:manualLayout>
          <c:xMode val="edge"/>
          <c:yMode val="edge"/>
          <c:x val="0.18559244197040625"/>
          <c:y val="3.316326530612245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1050133845264143E-2"/>
          <c:y val="0.22959183673469391"/>
          <c:w val="0.92185702106349265"/>
          <c:h val="0.57653061224490065"/>
        </c:manualLayout>
      </c:layout>
      <c:lineChart>
        <c:grouping val="standard"/>
        <c:varyColors val="0"/>
        <c:ser>
          <c:idx val="0"/>
          <c:order val="0"/>
          <c:tx>
            <c:v>PAIS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'23'!$A$11:$A$20</c:f>
              <c:numCache>
                <c:formatCode>General</c:formatCode>
                <c:ptCount val="10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</c:numCache>
            </c:numRef>
          </c:cat>
          <c:val>
            <c:numRef>
              <c:f>'23'!$C$11:$C$19</c:f>
              <c:numCache>
                <c:formatCode>0.0</c:formatCode>
                <c:ptCount val="9"/>
                <c:pt idx="0">
                  <c:v>4.1526051526874648</c:v>
                </c:pt>
                <c:pt idx="1">
                  <c:v>4.0852188979352198</c:v>
                </c:pt>
                <c:pt idx="2">
                  <c:v>4.3337437100812215</c:v>
                </c:pt>
                <c:pt idx="3">
                  <c:v>4.5175265535540294</c:v>
                </c:pt>
                <c:pt idx="4">
                  <c:v>4.2221693625118935</c:v>
                </c:pt>
                <c:pt idx="5">
                  <c:v>3.9331366764995086</c:v>
                </c:pt>
                <c:pt idx="6">
                  <c:v>4.2912419288087786</c:v>
                </c:pt>
              </c:numCache>
            </c:numRef>
          </c:val>
          <c:smooth val="0"/>
        </c:ser>
        <c:ser>
          <c:idx val="1"/>
          <c:order val="1"/>
          <c:tx>
            <c:v>REGION</c:v>
          </c:tx>
          <c:spPr>
            <a:ln w="38100">
              <a:solidFill>
                <a:srgbClr val="333399"/>
              </a:solidFill>
              <a:prstDash val="solid"/>
            </a:ln>
          </c:spPr>
          <c:marker>
            <c:symbol val="none"/>
          </c:marker>
          <c:cat>
            <c:numRef>
              <c:f>'23'!$A$11:$A$20</c:f>
              <c:numCache>
                <c:formatCode>General</c:formatCode>
                <c:ptCount val="10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</c:numCache>
            </c:numRef>
          </c:cat>
          <c:val>
            <c:numRef>
              <c:f>'23'!$E$11:$E$19</c:f>
              <c:numCache>
                <c:formatCode>0.0</c:formatCode>
                <c:ptCount val="9"/>
                <c:pt idx="0">
                  <c:v>3.9733401691873875</c:v>
                </c:pt>
                <c:pt idx="1">
                  <c:v>4.0327883224477272</c:v>
                </c:pt>
                <c:pt idx="2">
                  <c:v>4.9973698053655973</c:v>
                </c:pt>
                <c:pt idx="3">
                  <c:v>4.2666896522001467</c:v>
                </c:pt>
                <c:pt idx="4">
                  <c:v>4.4238466399831475</c:v>
                </c:pt>
                <c:pt idx="5">
                  <c:v>3.7363560033585226</c:v>
                </c:pt>
                <c:pt idx="6">
                  <c:v>3.7140204271123491</c:v>
                </c:pt>
              </c:numCache>
            </c:numRef>
          </c:val>
          <c:smooth val="0"/>
        </c:ser>
        <c:ser>
          <c:idx val="2"/>
          <c:order val="2"/>
          <c:tx>
            <c:v>S. SALUD</c:v>
          </c:tx>
          <c:spPr>
            <a:ln w="38100">
              <a:solidFill>
                <a:srgbClr val="336666"/>
              </a:solidFill>
              <a:prstDash val="solid"/>
            </a:ln>
          </c:spPr>
          <c:marker>
            <c:symbol val="none"/>
          </c:marker>
          <c:cat>
            <c:numRef>
              <c:f>'23'!$A$11:$A$20</c:f>
              <c:numCache>
                <c:formatCode>General</c:formatCode>
                <c:ptCount val="10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</c:numCache>
            </c:numRef>
          </c:cat>
          <c:val>
            <c:numRef>
              <c:f>'23'!$G$11:$G$20</c:f>
              <c:numCache>
                <c:formatCode>0.0</c:formatCode>
                <c:ptCount val="10"/>
                <c:pt idx="0">
                  <c:v>3.2653061224489797</c:v>
                </c:pt>
                <c:pt idx="1">
                  <c:v>4.2396834369700391</c:v>
                </c:pt>
                <c:pt idx="2">
                  <c:v>6.3711911357340725</c:v>
                </c:pt>
                <c:pt idx="3">
                  <c:v>4.3632397054813197</c:v>
                </c:pt>
                <c:pt idx="4">
                  <c:v>3.7817396002160995</c:v>
                </c:pt>
                <c:pt idx="5">
                  <c:v>6.3678043810494147</c:v>
                </c:pt>
                <c:pt idx="6">
                  <c:v>5.1379123850730126</c:v>
                </c:pt>
                <c:pt idx="7">
                  <c:v>4.6831955922865012</c:v>
                </c:pt>
                <c:pt idx="8">
                  <c:v>3.1179138321995468</c:v>
                </c:pt>
                <c:pt idx="9">
                  <c:v>3.4638955502264852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9822360"/>
        <c:axId val="329822752"/>
      </c:lineChart>
      <c:catAx>
        <c:axId val="3298223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0/00</a:t>
                </a:r>
              </a:p>
            </c:rich>
          </c:tx>
          <c:layout>
            <c:manualLayout>
              <c:xMode val="edge"/>
              <c:yMode val="edge"/>
              <c:x val="8.5470085470085496E-3"/>
              <c:y val="0.1147959183673469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1" i="1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L"/>
          </a:p>
        </c:txPr>
        <c:crossAx val="3298227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29822752"/>
        <c:scaling>
          <c:orientation val="minMax"/>
          <c:max val="7.5"/>
          <c:min val="2"/>
        </c:scaling>
        <c:delete val="0"/>
        <c:axPos val="l"/>
        <c:majorGridlines>
          <c:spPr>
            <a:ln w="12700">
              <a:solidFill>
                <a:srgbClr val="FF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175" b="1" i="1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L"/>
          </a:p>
        </c:txPr>
        <c:crossAx val="329822360"/>
        <c:crosses val="autoZero"/>
        <c:crossBetween val="between"/>
        <c:majorUnit val="1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33943872400567293"/>
          <c:y val="0.91581632653061229"/>
          <c:w val="0.37118475575169507"/>
          <c:h val="6.8877551020410599E-2"/>
        </c:manualLayout>
      </c:layout>
      <c:overlay val="0"/>
      <c:spPr>
        <a:noFill/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10" b="1" i="1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L"/>
        </a:p>
      </c:txPr>
    </c:legend>
    <c:plotVisOnly val="1"/>
    <c:dispBlanksAs val="gap"/>
    <c:showDLblsOverMax val="0"/>
  </c:chart>
  <c:spPr>
    <a:gradFill rotWithShape="0">
      <a:gsLst>
        <a:gs pos="0">
          <a:srgbClr val="C0C0C0"/>
        </a:gs>
        <a:gs pos="100000">
          <a:srgbClr val="C0C0C0">
            <a:gamma/>
            <a:tint val="0"/>
            <a:invGamma/>
          </a:srgbClr>
        </a:gs>
      </a:gsLst>
      <a:lin ang="5400000" scaled="1"/>
    </a:gra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2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L"/>
    </a:p>
  </c:txPr>
  <c:printSettings>
    <c:headerFooter alignWithMargins="0"/>
    <c:pageMargins b="1" l="0.75000000000001465" r="0.75000000000001465" t="1" header="0" footer="0"/>
    <c:pageSetup paperSize="9" orientation="landscape" horizontalDpi="300" verticalDpi="300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TASA MORT. NEO-PRECOZ PAIS REGION SERV. SALUD
AÑOS  2005 - 2014 (tasa x mil nac. vivos)
 </a:t>
            </a:r>
          </a:p>
        </c:rich>
      </c:tx>
      <c:layout>
        <c:manualLayout>
          <c:xMode val="edge"/>
          <c:yMode val="edge"/>
          <c:x val="0.18559244197040625"/>
          <c:y val="3.316326530612245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1050133845264143E-2"/>
          <c:y val="0.22959183673469391"/>
          <c:w val="0.92185702106349265"/>
          <c:h val="0.57653061224490065"/>
        </c:manualLayout>
      </c:layout>
      <c:lineChart>
        <c:grouping val="standard"/>
        <c:varyColors val="0"/>
        <c:ser>
          <c:idx val="0"/>
          <c:order val="0"/>
          <c:tx>
            <c:v>PAIS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'23'!$A$11:$A$20</c:f>
              <c:numCache>
                <c:formatCode>General</c:formatCode>
                <c:ptCount val="10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</c:numCache>
            </c:numRef>
          </c:cat>
          <c:val>
            <c:numRef>
              <c:f>'23'!$C$11:$C$19</c:f>
              <c:numCache>
                <c:formatCode>0.0</c:formatCode>
                <c:ptCount val="9"/>
                <c:pt idx="0">
                  <c:v>4.1526051526874648</c:v>
                </c:pt>
                <c:pt idx="1">
                  <c:v>4.0852188979352198</c:v>
                </c:pt>
                <c:pt idx="2">
                  <c:v>4.3337437100812215</c:v>
                </c:pt>
                <c:pt idx="3">
                  <c:v>4.5175265535540294</c:v>
                </c:pt>
                <c:pt idx="4">
                  <c:v>4.2221693625118935</c:v>
                </c:pt>
                <c:pt idx="5">
                  <c:v>3.9331366764995086</c:v>
                </c:pt>
                <c:pt idx="6">
                  <c:v>4.2912419288087786</c:v>
                </c:pt>
              </c:numCache>
            </c:numRef>
          </c:val>
          <c:smooth val="0"/>
        </c:ser>
        <c:ser>
          <c:idx val="1"/>
          <c:order val="1"/>
          <c:tx>
            <c:v>REGION</c:v>
          </c:tx>
          <c:spPr>
            <a:ln w="38100">
              <a:solidFill>
                <a:srgbClr val="333399"/>
              </a:solidFill>
              <a:prstDash val="solid"/>
            </a:ln>
          </c:spPr>
          <c:marker>
            <c:symbol val="none"/>
          </c:marker>
          <c:cat>
            <c:numRef>
              <c:f>'23'!$A$11:$A$20</c:f>
              <c:numCache>
                <c:formatCode>General</c:formatCode>
                <c:ptCount val="10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</c:numCache>
            </c:numRef>
          </c:cat>
          <c:val>
            <c:numRef>
              <c:f>'23'!$E$11:$E$19</c:f>
              <c:numCache>
                <c:formatCode>0.0</c:formatCode>
                <c:ptCount val="9"/>
                <c:pt idx="0">
                  <c:v>3.9733401691873875</c:v>
                </c:pt>
                <c:pt idx="1">
                  <c:v>4.0327883224477272</c:v>
                </c:pt>
                <c:pt idx="2">
                  <c:v>4.9973698053655973</c:v>
                </c:pt>
                <c:pt idx="3">
                  <c:v>4.2666896522001467</c:v>
                </c:pt>
                <c:pt idx="4">
                  <c:v>4.4238466399831475</c:v>
                </c:pt>
                <c:pt idx="5">
                  <c:v>3.7363560033585226</c:v>
                </c:pt>
                <c:pt idx="6">
                  <c:v>3.7140204271123491</c:v>
                </c:pt>
              </c:numCache>
            </c:numRef>
          </c:val>
          <c:smooth val="0"/>
        </c:ser>
        <c:ser>
          <c:idx val="2"/>
          <c:order val="2"/>
          <c:tx>
            <c:v>S. SALUD</c:v>
          </c:tx>
          <c:spPr>
            <a:ln w="38100">
              <a:solidFill>
                <a:srgbClr val="336666"/>
              </a:solidFill>
              <a:prstDash val="solid"/>
            </a:ln>
          </c:spPr>
          <c:marker>
            <c:symbol val="none"/>
          </c:marker>
          <c:cat>
            <c:numRef>
              <c:f>'23'!$A$11:$A$20</c:f>
              <c:numCache>
                <c:formatCode>General</c:formatCode>
                <c:ptCount val="10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</c:numCache>
            </c:numRef>
          </c:cat>
          <c:val>
            <c:numRef>
              <c:f>'23'!$G$11:$G$20</c:f>
              <c:numCache>
                <c:formatCode>0.0</c:formatCode>
                <c:ptCount val="10"/>
                <c:pt idx="0">
                  <c:v>3.2653061224489797</c:v>
                </c:pt>
                <c:pt idx="1">
                  <c:v>4.2396834369700391</c:v>
                </c:pt>
                <c:pt idx="2">
                  <c:v>6.3711911357340725</c:v>
                </c:pt>
                <c:pt idx="3">
                  <c:v>4.3632397054813197</c:v>
                </c:pt>
                <c:pt idx="4">
                  <c:v>3.7817396002160995</c:v>
                </c:pt>
                <c:pt idx="5">
                  <c:v>6.3678043810494147</c:v>
                </c:pt>
                <c:pt idx="6">
                  <c:v>5.1379123850730126</c:v>
                </c:pt>
                <c:pt idx="7">
                  <c:v>4.6831955922865012</c:v>
                </c:pt>
                <c:pt idx="8">
                  <c:v>3.1179138321995468</c:v>
                </c:pt>
                <c:pt idx="9">
                  <c:v>3.4638955502264852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9823536"/>
        <c:axId val="329823928"/>
      </c:lineChart>
      <c:catAx>
        <c:axId val="3298235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0/00</a:t>
                </a:r>
              </a:p>
            </c:rich>
          </c:tx>
          <c:layout>
            <c:manualLayout>
              <c:xMode val="edge"/>
              <c:yMode val="edge"/>
              <c:x val="8.5470085470085496E-3"/>
              <c:y val="0.1147959183673469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1" i="1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L"/>
          </a:p>
        </c:txPr>
        <c:crossAx val="3298239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29823928"/>
        <c:scaling>
          <c:orientation val="minMax"/>
          <c:max val="7.5"/>
          <c:min val="2"/>
        </c:scaling>
        <c:delete val="0"/>
        <c:axPos val="l"/>
        <c:majorGridlines>
          <c:spPr>
            <a:ln w="12700">
              <a:solidFill>
                <a:srgbClr val="FF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175" b="1" i="1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L"/>
          </a:p>
        </c:txPr>
        <c:crossAx val="329823536"/>
        <c:crosses val="autoZero"/>
        <c:crossBetween val="between"/>
        <c:majorUnit val="1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33943872400567293"/>
          <c:y val="0.91581632653061229"/>
          <c:w val="0.37118475575169507"/>
          <c:h val="6.8877551020410599E-2"/>
        </c:manualLayout>
      </c:layout>
      <c:overlay val="0"/>
      <c:spPr>
        <a:noFill/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10" b="1" i="1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L"/>
        </a:p>
      </c:txPr>
    </c:legend>
    <c:plotVisOnly val="1"/>
    <c:dispBlanksAs val="gap"/>
    <c:showDLblsOverMax val="0"/>
  </c:chart>
  <c:spPr>
    <a:gradFill rotWithShape="0">
      <a:gsLst>
        <a:gs pos="0">
          <a:srgbClr val="C0C0C0"/>
        </a:gs>
        <a:gs pos="100000">
          <a:srgbClr val="C0C0C0">
            <a:gamma/>
            <a:tint val="0"/>
            <a:invGamma/>
          </a:srgbClr>
        </a:gs>
      </a:gsLst>
      <a:lin ang="5400000" scaled="1"/>
    </a:gra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2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L"/>
    </a:p>
  </c:txPr>
  <c:printSettings>
    <c:headerFooter alignWithMargins="0"/>
    <c:pageMargins b="1" l="0.75000000000001465" r="0.75000000000001465" t="1" header="0" footer="0"/>
    <c:pageSetup paperSize="9" orientation="landscape" horizontalDpi="300" verticalDpi="300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TASA MORT.  NEONATAL  PAIS REGION SERV. SALUD
AÑOS  2004 - 2013 (tasa x mil nac. vivos)
 </a:t>
            </a:r>
          </a:p>
        </c:rich>
      </c:tx>
      <c:layout>
        <c:manualLayout>
          <c:xMode val="edge"/>
          <c:yMode val="edge"/>
          <c:x val="0.19070904645476774"/>
          <c:y val="3.316326530612245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1124694376528114E-2"/>
          <c:y val="0.24744897959184803"/>
          <c:w val="0.92053789731051361"/>
          <c:h val="0.54846938775510157"/>
        </c:manualLayout>
      </c:layout>
      <c:lineChart>
        <c:grouping val="standard"/>
        <c:varyColors val="0"/>
        <c:ser>
          <c:idx val="0"/>
          <c:order val="0"/>
          <c:tx>
            <c:v>PAIS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'25'!$A$11:$A$20</c:f>
              <c:numCache>
                <c:formatCode>General</c:formatCode>
                <c:ptCount val="10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</c:numCache>
            </c:numRef>
          </c:cat>
          <c:val>
            <c:numRef>
              <c:f>'25'!$C$11:$C$19</c:f>
              <c:numCache>
                <c:formatCode>0.0</c:formatCode>
                <c:ptCount val="9"/>
                <c:pt idx="0">
                  <c:v>5.1609185941229736</c:v>
                </c:pt>
                <c:pt idx="1">
                  <c:v>5.1280787975086319</c:v>
                </c:pt>
                <c:pt idx="2">
                  <c:v>5.602055739628347</c:v>
                </c:pt>
                <c:pt idx="3">
                  <c:v>5.5120266058961365</c:v>
                </c:pt>
                <c:pt idx="4">
                  <c:v>5.387725975261656</c:v>
                </c:pt>
                <c:pt idx="5">
                  <c:v>5.1075044088551307</c:v>
                </c:pt>
                <c:pt idx="6">
                  <c:v>5.4082505956709888</c:v>
                </c:pt>
              </c:numCache>
            </c:numRef>
          </c:val>
          <c:smooth val="0"/>
        </c:ser>
        <c:ser>
          <c:idx val="1"/>
          <c:order val="1"/>
          <c:tx>
            <c:v>REGION</c:v>
          </c:tx>
          <c:spPr>
            <a:ln w="38100">
              <a:solidFill>
                <a:srgbClr val="333399"/>
              </a:solidFill>
              <a:prstDash val="solid"/>
            </a:ln>
          </c:spPr>
          <c:marker>
            <c:symbol val="none"/>
          </c:marker>
          <c:cat>
            <c:numRef>
              <c:f>'25'!$A$11:$A$20</c:f>
              <c:numCache>
                <c:formatCode>General</c:formatCode>
                <c:ptCount val="10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</c:numCache>
            </c:numRef>
          </c:cat>
          <c:val>
            <c:numRef>
              <c:f>'25'!$E$11:$E$19</c:f>
              <c:numCache>
                <c:formatCode>0.0</c:formatCode>
                <c:ptCount val="9"/>
                <c:pt idx="0">
                  <c:v>4.9559941895240538</c:v>
                </c:pt>
                <c:pt idx="1">
                  <c:v>5.1286547144172179</c:v>
                </c:pt>
                <c:pt idx="2">
                  <c:v>6.2686305453270217</c:v>
                </c:pt>
                <c:pt idx="3">
                  <c:v>5.1717450329698744</c:v>
                </c:pt>
                <c:pt idx="4">
                  <c:v>5.8141984411207082</c:v>
                </c:pt>
                <c:pt idx="5">
                  <c:v>5.0377833753148611</c:v>
                </c:pt>
                <c:pt idx="6">
                  <c:v>4.6425255338904359</c:v>
                </c:pt>
              </c:numCache>
            </c:numRef>
          </c:val>
          <c:smooth val="0"/>
        </c:ser>
        <c:ser>
          <c:idx val="2"/>
          <c:order val="2"/>
          <c:tx>
            <c:v>S. SALUD</c:v>
          </c:tx>
          <c:spPr>
            <a:ln w="38100">
              <a:solidFill>
                <a:srgbClr val="336666"/>
              </a:solidFill>
              <a:prstDash val="solid"/>
            </a:ln>
          </c:spPr>
          <c:marker>
            <c:symbol val="none"/>
          </c:marker>
          <c:cat>
            <c:numRef>
              <c:f>'25'!$A$11:$A$20</c:f>
              <c:numCache>
                <c:formatCode>General</c:formatCode>
                <c:ptCount val="10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</c:numCache>
            </c:numRef>
          </c:cat>
          <c:val>
            <c:numRef>
              <c:f>'25'!$G$11:$G$20</c:f>
              <c:numCache>
                <c:formatCode>0.0</c:formatCode>
                <c:ptCount val="10"/>
                <c:pt idx="0">
                  <c:v>3.8095238095238093</c:v>
                </c:pt>
                <c:pt idx="1">
                  <c:v>5.3702656868287173</c:v>
                </c:pt>
                <c:pt idx="2">
                  <c:v>8.310249307479225</c:v>
                </c:pt>
                <c:pt idx="3">
                  <c:v>4.9086446686664855</c:v>
                </c:pt>
                <c:pt idx="4">
                  <c:v>6.2128579146407352</c:v>
                </c:pt>
                <c:pt idx="5">
                  <c:v>7.3866530820173208</c:v>
                </c:pt>
                <c:pt idx="6">
                  <c:v>5.9491617090319089</c:v>
                </c:pt>
                <c:pt idx="7">
                  <c:v>7.7134986225895323</c:v>
                </c:pt>
                <c:pt idx="8">
                  <c:v>4.8185941043083895</c:v>
                </c:pt>
                <c:pt idx="9">
                  <c:v>5.329070077271516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9824712"/>
        <c:axId val="329662512"/>
      </c:lineChart>
      <c:catAx>
        <c:axId val="3298247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0/00</a:t>
                </a:r>
              </a:p>
            </c:rich>
          </c:tx>
          <c:layout>
            <c:manualLayout>
              <c:xMode val="edge"/>
              <c:yMode val="edge"/>
              <c:x val="6.1124694376529023E-3"/>
              <c:y val="0.1352040816326532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1" i="1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L"/>
          </a:p>
        </c:txPr>
        <c:crossAx val="3296625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29662512"/>
        <c:scaling>
          <c:orientation val="minMax"/>
          <c:max val="9"/>
          <c:min val="3"/>
        </c:scaling>
        <c:delete val="0"/>
        <c:axPos val="l"/>
        <c:majorGridlines>
          <c:spPr>
            <a:ln w="12700">
              <a:solidFill>
                <a:srgbClr val="FF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175" b="1" i="1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L"/>
          </a:p>
        </c:txPr>
        <c:crossAx val="329824712"/>
        <c:crosses val="autoZero"/>
        <c:crossBetween val="between"/>
        <c:majorUnit val="1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30562347188267019"/>
          <c:y val="0.92346938775510157"/>
          <c:w val="0.37163814180929688"/>
          <c:h val="6.8877551020408739E-2"/>
        </c:manualLayout>
      </c:layout>
      <c:overlay val="0"/>
      <c:spPr>
        <a:noFill/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10" b="1" i="1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L"/>
        </a:p>
      </c:txPr>
    </c:legend>
    <c:plotVisOnly val="1"/>
    <c:dispBlanksAs val="gap"/>
    <c:showDLblsOverMax val="0"/>
  </c:chart>
  <c:spPr>
    <a:gradFill rotWithShape="0">
      <a:gsLst>
        <a:gs pos="0">
          <a:srgbClr val="C0C0C0"/>
        </a:gs>
        <a:gs pos="100000">
          <a:srgbClr val="C0C0C0">
            <a:gamma/>
            <a:tint val="0"/>
            <a:invGamma/>
          </a:srgbClr>
        </a:gs>
      </a:gsLst>
      <a:lin ang="5400000" scaled="1"/>
    </a:gra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2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L"/>
    </a:p>
  </c:txPr>
  <c:printSettings>
    <c:headerFooter alignWithMargins="0"/>
    <c:pageMargins b="1" l="0.75000000000001465" r="0.75000000000001465" t="1" header="0" footer="0"/>
    <c:pageSetup paperSize="9" orientation="landscape" horizontalDpi="300" verticalDpi="300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TASA MORT.  NEONATAL  PAIS REGION SERV. SALUD
AÑOS  2005 - 2014 (tasa x mil nac. vivos)
 </a:t>
            </a:r>
          </a:p>
        </c:rich>
      </c:tx>
      <c:layout>
        <c:manualLayout>
          <c:xMode val="edge"/>
          <c:yMode val="edge"/>
          <c:x val="0.19070904645476774"/>
          <c:y val="3.316326530612245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1124694376528114E-2"/>
          <c:y val="0.24744897959184803"/>
          <c:w val="0.92053789731051361"/>
          <c:h val="0.54846938775510157"/>
        </c:manualLayout>
      </c:layout>
      <c:lineChart>
        <c:grouping val="standard"/>
        <c:varyColors val="0"/>
        <c:ser>
          <c:idx val="0"/>
          <c:order val="0"/>
          <c:tx>
            <c:v>PAIS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'25'!$A$11:$A$20</c:f>
              <c:numCache>
                <c:formatCode>General</c:formatCode>
                <c:ptCount val="10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</c:numCache>
            </c:numRef>
          </c:cat>
          <c:val>
            <c:numRef>
              <c:f>'25'!$C$11:$C$19</c:f>
              <c:numCache>
                <c:formatCode>0.0</c:formatCode>
                <c:ptCount val="9"/>
                <c:pt idx="0">
                  <c:v>5.1609185941229736</c:v>
                </c:pt>
                <c:pt idx="1">
                  <c:v>5.1280787975086319</c:v>
                </c:pt>
                <c:pt idx="2">
                  <c:v>5.602055739628347</c:v>
                </c:pt>
                <c:pt idx="3">
                  <c:v>5.5120266058961365</c:v>
                </c:pt>
                <c:pt idx="4">
                  <c:v>5.387725975261656</c:v>
                </c:pt>
                <c:pt idx="5">
                  <c:v>5.1075044088551307</c:v>
                </c:pt>
                <c:pt idx="6">
                  <c:v>5.4082505956709888</c:v>
                </c:pt>
              </c:numCache>
            </c:numRef>
          </c:val>
          <c:smooth val="0"/>
        </c:ser>
        <c:ser>
          <c:idx val="1"/>
          <c:order val="1"/>
          <c:tx>
            <c:v>REGION</c:v>
          </c:tx>
          <c:spPr>
            <a:ln w="38100">
              <a:solidFill>
                <a:srgbClr val="333399"/>
              </a:solidFill>
              <a:prstDash val="solid"/>
            </a:ln>
          </c:spPr>
          <c:marker>
            <c:symbol val="none"/>
          </c:marker>
          <c:cat>
            <c:numRef>
              <c:f>'25'!$A$11:$A$20</c:f>
              <c:numCache>
                <c:formatCode>General</c:formatCode>
                <c:ptCount val="10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</c:numCache>
            </c:numRef>
          </c:cat>
          <c:val>
            <c:numRef>
              <c:f>'25'!$E$11:$E$19</c:f>
              <c:numCache>
                <c:formatCode>0.0</c:formatCode>
                <c:ptCount val="9"/>
                <c:pt idx="0">
                  <c:v>4.9559941895240538</c:v>
                </c:pt>
                <c:pt idx="1">
                  <c:v>5.1286547144172179</c:v>
                </c:pt>
                <c:pt idx="2">
                  <c:v>6.2686305453270217</c:v>
                </c:pt>
                <c:pt idx="3">
                  <c:v>5.1717450329698744</c:v>
                </c:pt>
                <c:pt idx="4">
                  <c:v>5.8141984411207082</c:v>
                </c:pt>
                <c:pt idx="5">
                  <c:v>5.0377833753148611</c:v>
                </c:pt>
                <c:pt idx="6">
                  <c:v>4.6425255338904359</c:v>
                </c:pt>
              </c:numCache>
            </c:numRef>
          </c:val>
          <c:smooth val="0"/>
        </c:ser>
        <c:ser>
          <c:idx val="2"/>
          <c:order val="2"/>
          <c:tx>
            <c:v>S. SALUD</c:v>
          </c:tx>
          <c:spPr>
            <a:ln w="38100">
              <a:solidFill>
                <a:srgbClr val="336666"/>
              </a:solidFill>
              <a:prstDash val="solid"/>
            </a:ln>
          </c:spPr>
          <c:marker>
            <c:symbol val="none"/>
          </c:marker>
          <c:cat>
            <c:numRef>
              <c:f>'25'!$A$11:$A$20</c:f>
              <c:numCache>
                <c:formatCode>General</c:formatCode>
                <c:ptCount val="10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</c:numCache>
            </c:numRef>
          </c:cat>
          <c:val>
            <c:numRef>
              <c:f>'25'!$G$11:$G$20</c:f>
              <c:numCache>
                <c:formatCode>0.0</c:formatCode>
                <c:ptCount val="10"/>
                <c:pt idx="0">
                  <c:v>3.8095238095238093</c:v>
                </c:pt>
                <c:pt idx="1">
                  <c:v>5.3702656868287173</c:v>
                </c:pt>
                <c:pt idx="2">
                  <c:v>8.310249307479225</c:v>
                </c:pt>
                <c:pt idx="3">
                  <c:v>4.9086446686664855</c:v>
                </c:pt>
                <c:pt idx="4">
                  <c:v>6.2128579146407352</c:v>
                </c:pt>
                <c:pt idx="5">
                  <c:v>7.3866530820173208</c:v>
                </c:pt>
                <c:pt idx="6">
                  <c:v>5.9491617090319089</c:v>
                </c:pt>
                <c:pt idx="7">
                  <c:v>7.7134986225895323</c:v>
                </c:pt>
                <c:pt idx="8">
                  <c:v>4.8185941043083895</c:v>
                </c:pt>
                <c:pt idx="9">
                  <c:v>5.329070077271516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9663296"/>
        <c:axId val="329663688"/>
      </c:lineChart>
      <c:catAx>
        <c:axId val="3296632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0/00</a:t>
                </a:r>
              </a:p>
            </c:rich>
          </c:tx>
          <c:layout>
            <c:manualLayout>
              <c:xMode val="edge"/>
              <c:yMode val="edge"/>
              <c:x val="6.1124694376529023E-3"/>
              <c:y val="0.1352040816326532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1" i="1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L"/>
          </a:p>
        </c:txPr>
        <c:crossAx val="3296636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29663688"/>
        <c:scaling>
          <c:orientation val="minMax"/>
          <c:max val="9"/>
          <c:min val="3"/>
        </c:scaling>
        <c:delete val="0"/>
        <c:axPos val="l"/>
        <c:majorGridlines>
          <c:spPr>
            <a:ln w="12700">
              <a:solidFill>
                <a:srgbClr val="FF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175" b="1" i="1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L"/>
          </a:p>
        </c:txPr>
        <c:crossAx val="329663296"/>
        <c:crosses val="autoZero"/>
        <c:crossBetween val="between"/>
        <c:majorUnit val="1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30562347188267019"/>
          <c:y val="0.92346938775510157"/>
          <c:w val="0.37163814180929688"/>
          <c:h val="6.8877551020408739E-2"/>
        </c:manualLayout>
      </c:layout>
      <c:overlay val="0"/>
      <c:spPr>
        <a:noFill/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10" b="1" i="1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L"/>
        </a:p>
      </c:txPr>
    </c:legend>
    <c:plotVisOnly val="1"/>
    <c:dispBlanksAs val="gap"/>
    <c:showDLblsOverMax val="0"/>
  </c:chart>
  <c:spPr>
    <a:gradFill rotWithShape="0">
      <a:gsLst>
        <a:gs pos="0">
          <a:srgbClr val="C0C0C0"/>
        </a:gs>
        <a:gs pos="100000">
          <a:srgbClr val="C0C0C0">
            <a:gamma/>
            <a:tint val="0"/>
            <a:invGamma/>
          </a:srgbClr>
        </a:gs>
      </a:gsLst>
      <a:lin ang="5400000" scaled="1"/>
    </a:gra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2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L"/>
    </a:p>
  </c:txPr>
  <c:printSettings>
    <c:headerFooter alignWithMargins="0"/>
    <c:pageMargins b="1" l="0.75000000000001465" r="0.75000000000001465" t="1" header="0" footer="0"/>
    <c:pageSetup paperSize="9" orientation="landscape" horizontalDpi="300" verticalDpi="300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TASA MORT. INFANTIL TARDIA  PAIS REGION SERV. SALUD
AÑOS  2004 - 2013 (tasa x mil nac. vivos)
 </a:t>
            </a:r>
          </a:p>
        </c:rich>
      </c:tx>
      <c:layout>
        <c:manualLayout>
          <c:xMode val="edge"/>
          <c:yMode val="edge"/>
          <c:x val="0.15892420537897844"/>
          <c:y val="3.316326530612245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1124694376528114E-2"/>
          <c:y val="0.22959183673469391"/>
          <c:w val="0.92176039119804398"/>
          <c:h val="0.57653061224490065"/>
        </c:manualLayout>
      </c:layout>
      <c:lineChart>
        <c:grouping val="standard"/>
        <c:varyColors val="0"/>
        <c:ser>
          <c:idx val="0"/>
          <c:order val="0"/>
          <c:tx>
            <c:v>PAIS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'27'!$A$11:$A$20</c:f>
              <c:numCache>
                <c:formatCode>General</c:formatCode>
                <c:ptCount val="10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</c:numCache>
            </c:numRef>
          </c:cat>
          <c:val>
            <c:numRef>
              <c:f>'27'!$C$11:$C$19</c:f>
              <c:numCache>
                <c:formatCode>0.0</c:formatCode>
                <c:ptCount val="9"/>
                <c:pt idx="0">
                  <c:v>2.7039262490739975</c:v>
                </c:pt>
                <c:pt idx="1">
                  <c:v>2.4223911053083209</c:v>
                </c:pt>
                <c:pt idx="2">
                  <c:v>2.697745131251704</c:v>
                </c:pt>
                <c:pt idx="3">
                  <c:v>2.3312369648019455</c:v>
                </c:pt>
                <c:pt idx="4">
                  <c:v>2.529337139232477</c:v>
                </c:pt>
                <c:pt idx="5">
                  <c:v>2.3049454814708659</c:v>
                </c:pt>
                <c:pt idx="6">
                  <c:v>2.2581254344480648</c:v>
                </c:pt>
              </c:numCache>
            </c:numRef>
          </c:val>
          <c:smooth val="0"/>
        </c:ser>
        <c:ser>
          <c:idx val="1"/>
          <c:order val="1"/>
          <c:tx>
            <c:v>REGION</c:v>
          </c:tx>
          <c:spPr>
            <a:ln w="38100">
              <a:solidFill>
                <a:srgbClr val="333399"/>
              </a:solidFill>
              <a:prstDash val="solid"/>
            </a:ln>
          </c:spPr>
          <c:marker>
            <c:symbol val="none"/>
          </c:marker>
          <c:cat>
            <c:numRef>
              <c:f>'27'!$A$11:$A$20</c:f>
              <c:numCache>
                <c:formatCode>General</c:formatCode>
                <c:ptCount val="10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</c:numCache>
            </c:numRef>
          </c:cat>
          <c:val>
            <c:numRef>
              <c:f>'27'!$E$11:$E$19</c:f>
              <c:numCache>
                <c:formatCode>0.0</c:formatCode>
                <c:ptCount val="9"/>
                <c:pt idx="0">
                  <c:v>2.6488934461249252</c:v>
                </c:pt>
                <c:pt idx="1">
                  <c:v>2.4547407180116601</c:v>
                </c:pt>
                <c:pt idx="2">
                  <c:v>2.5425214799228479</c:v>
                </c:pt>
                <c:pt idx="3">
                  <c:v>2.1117958884626988</c:v>
                </c:pt>
                <c:pt idx="4">
                  <c:v>2.6121761112281443</c:v>
                </c:pt>
                <c:pt idx="5">
                  <c:v>2.3509655751469354</c:v>
                </c:pt>
                <c:pt idx="6">
                  <c:v>2.4900818772685067</c:v>
                </c:pt>
              </c:numCache>
            </c:numRef>
          </c:val>
          <c:smooth val="0"/>
        </c:ser>
        <c:ser>
          <c:idx val="2"/>
          <c:order val="2"/>
          <c:tx>
            <c:v>S. SALUD</c:v>
          </c:tx>
          <c:spPr>
            <a:ln w="38100">
              <a:solidFill>
                <a:srgbClr val="336666"/>
              </a:solidFill>
              <a:prstDash val="solid"/>
            </a:ln>
          </c:spPr>
          <c:marker>
            <c:symbol val="none"/>
          </c:marker>
          <c:cat>
            <c:numRef>
              <c:f>'27'!$A$11:$A$20</c:f>
              <c:numCache>
                <c:formatCode>General</c:formatCode>
                <c:ptCount val="10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</c:numCache>
            </c:numRef>
          </c:cat>
          <c:val>
            <c:numRef>
              <c:f>'27'!$G$11:$G$20</c:f>
              <c:numCache>
                <c:formatCode>0.0</c:formatCode>
                <c:ptCount val="10"/>
                <c:pt idx="0">
                  <c:v>1.9047619047619047</c:v>
                </c:pt>
                <c:pt idx="1">
                  <c:v>3.3917467495760318</c:v>
                </c:pt>
                <c:pt idx="2">
                  <c:v>0.83102493074792239</c:v>
                </c:pt>
                <c:pt idx="3">
                  <c:v>1.0908099263703299</c:v>
                </c:pt>
                <c:pt idx="4">
                  <c:v>2.4311183144246353</c:v>
                </c:pt>
                <c:pt idx="5">
                  <c:v>2.0376974019358127</c:v>
                </c:pt>
                <c:pt idx="6">
                  <c:v>1.8929150892374256</c:v>
                </c:pt>
                <c:pt idx="7">
                  <c:v>1.3774104683195594</c:v>
                </c:pt>
                <c:pt idx="8">
                  <c:v>1.4172335600907029</c:v>
                </c:pt>
                <c:pt idx="9">
                  <c:v>2.1316280309086064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9664472"/>
        <c:axId val="329664864"/>
      </c:lineChart>
      <c:catAx>
        <c:axId val="3296644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0/00</a:t>
                </a:r>
              </a:p>
            </c:rich>
          </c:tx>
          <c:layout>
            <c:manualLayout>
              <c:xMode val="edge"/>
              <c:yMode val="edge"/>
              <c:x val="1.7114914425427872E-2"/>
              <c:y val="0.1326530612244896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1" i="1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L"/>
          </a:p>
        </c:txPr>
        <c:crossAx val="3296648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29664864"/>
        <c:scaling>
          <c:orientation val="minMax"/>
          <c:max val="4.0999999999999996"/>
          <c:min val="0.60000000000000064"/>
        </c:scaling>
        <c:delete val="0"/>
        <c:axPos val="l"/>
        <c:majorGridlines>
          <c:spPr>
            <a:ln w="12700">
              <a:solidFill>
                <a:srgbClr val="FF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175" b="1" i="1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L"/>
          </a:p>
        </c:txPr>
        <c:crossAx val="329664472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33863080684597946"/>
          <c:y val="0.91326530612244849"/>
          <c:w val="0.37163814180929688"/>
          <c:h val="6.8877551020408739E-2"/>
        </c:manualLayout>
      </c:layout>
      <c:overlay val="0"/>
      <c:spPr>
        <a:noFill/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10" b="1" i="1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L"/>
        </a:p>
      </c:txPr>
    </c:legend>
    <c:plotVisOnly val="1"/>
    <c:dispBlanksAs val="gap"/>
    <c:showDLblsOverMax val="0"/>
  </c:chart>
  <c:spPr>
    <a:gradFill rotWithShape="0">
      <a:gsLst>
        <a:gs pos="0">
          <a:srgbClr val="C0C0C0"/>
        </a:gs>
        <a:gs pos="100000">
          <a:srgbClr val="C0C0C0">
            <a:gamma/>
            <a:tint val="0"/>
            <a:invGamma/>
          </a:srgbClr>
        </a:gs>
      </a:gsLst>
      <a:lin ang="5400000" scaled="1"/>
    </a:gra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2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L"/>
    </a:p>
  </c:txPr>
  <c:printSettings>
    <c:headerFooter alignWithMargins="0"/>
    <c:pageMargins b="1" l="0.75000000000001465" r="0.75000000000001465" t="1" header="0" footer="0"/>
    <c:pageSetup paperSize="9" orientation="landscape" horizontalDpi="300" verticalDpi="300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TASA MORT. INFANTIL TARDIA  PAIS REGION SERV. SALUD
AÑOS  2005 - 2014 (tasa x mil nac. vivos)
 </a:t>
            </a:r>
          </a:p>
        </c:rich>
      </c:tx>
      <c:layout>
        <c:manualLayout>
          <c:xMode val="edge"/>
          <c:yMode val="edge"/>
          <c:x val="0.15892420537897844"/>
          <c:y val="3.316326530612245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1124694376528114E-2"/>
          <c:y val="0.22959183673469391"/>
          <c:w val="0.92176039119804398"/>
          <c:h val="0.57653061224490065"/>
        </c:manualLayout>
      </c:layout>
      <c:lineChart>
        <c:grouping val="standard"/>
        <c:varyColors val="0"/>
        <c:ser>
          <c:idx val="0"/>
          <c:order val="0"/>
          <c:tx>
            <c:v>PAIS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'27'!$A$11:$A$20</c:f>
              <c:numCache>
                <c:formatCode>General</c:formatCode>
                <c:ptCount val="10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</c:numCache>
            </c:numRef>
          </c:cat>
          <c:val>
            <c:numRef>
              <c:f>'27'!$C$11:$C$19</c:f>
              <c:numCache>
                <c:formatCode>0.0</c:formatCode>
                <c:ptCount val="9"/>
                <c:pt idx="0">
                  <c:v>2.7039262490739975</c:v>
                </c:pt>
                <c:pt idx="1">
                  <c:v>2.4223911053083209</c:v>
                </c:pt>
                <c:pt idx="2">
                  <c:v>2.697745131251704</c:v>
                </c:pt>
                <c:pt idx="3">
                  <c:v>2.3312369648019455</c:v>
                </c:pt>
                <c:pt idx="4">
                  <c:v>2.529337139232477</c:v>
                </c:pt>
                <c:pt idx="5">
                  <c:v>2.3049454814708659</c:v>
                </c:pt>
                <c:pt idx="6">
                  <c:v>2.2581254344480648</c:v>
                </c:pt>
              </c:numCache>
            </c:numRef>
          </c:val>
          <c:smooth val="0"/>
        </c:ser>
        <c:ser>
          <c:idx val="1"/>
          <c:order val="1"/>
          <c:tx>
            <c:v>REGION</c:v>
          </c:tx>
          <c:spPr>
            <a:ln w="38100">
              <a:solidFill>
                <a:srgbClr val="333399"/>
              </a:solidFill>
              <a:prstDash val="solid"/>
            </a:ln>
          </c:spPr>
          <c:marker>
            <c:symbol val="none"/>
          </c:marker>
          <c:cat>
            <c:numRef>
              <c:f>'27'!$A$11:$A$20</c:f>
              <c:numCache>
                <c:formatCode>General</c:formatCode>
                <c:ptCount val="10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</c:numCache>
            </c:numRef>
          </c:cat>
          <c:val>
            <c:numRef>
              <c:f>'27'!$E$11:$E$19</c:f>
              <c:numCache>
                <c:formatCode>0.0</c:formatCode>
                <c:ptCount val="9"/>
                <c:pt idx="0">
                  <c:v>2.6488934461249252</c:v>
                </c:pt>
                <c:pt idx="1">
                  <c:v>2.4547407180116601</c:v>
                </c:pt>
                <c:pt idx="2">
                  <c:v>2.5425214799228479</c:v>
                </c:pt>
                <c:pt idx="3">
                  <c:v>2.1117958884626988</c:v>
                </c:pt>
                <c:pt idx="4">
                  <c:v>2.6121761112281443</c:v>
                </c:pt>
                <c:pt idx="5">
                  <c:v>2.3509655751469354</c:v>
                </c:pt>
                <c:pt idx="6">
                  <c:v>2.4900818772685067</c:v>
                </c:pt>
              </c:numCache>
            </c:numRef>
          </c:val>
          <c:smooth val="0"/>
        </c:ser>
        <c:ser>
          <c:idx val="2"/>
          <c:order val="2"/>
          <c:tx>
            <c:v>S. SALUD</c:v>
          </c:tx>
          <c:spPr>
            <a:ln w="38100">
              <a:solidFill>
                <a:srgbClr val="336666"/>
              </a:solidFill>
              <a:prstDash val="solid"/>
            </a:ln>
          </c:spPr>
          <c:marker>
            <c:symbol val="none"/>
          </c:marker>
          <c:cat>
            <c:numRef>
              <c:f>'27'!$A$11:$A$20</c:f>
              <c:numCache>
                <c:formatCode>General</c:formatCode>
                <c:ptCount val="10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</c:numCache>
            </c:numRef>
          </c:cat>
          <c:val>
            <c:numRef>
              <c:f>'27'!$G$11:$G$20</c:f>
              <c:numCache>
                <c:formatCode>0.0</c:formatCode>
                <c:ptCount val="10"/>
                <c:pt idx="0">
                  <c:v>1.9047619047619047</c:v>
                </c:pt>
                <c:pt idx="1">
                  <c:v>3.3917467495760318</c:v>
                </c:pt>
                <c:pt idx="2">
                  <c:v>0.83102493074792239</c:v>
                </c:pt>
                <c:pt idx="3">
                  <c:v>1.0908099263703299</c:v>
                </c:pt>
                <c:pt idx="4">
                  <c:v>2.4311183144246353</c:v>
                </c:pt>
                <c:pt idx="5">
                  <c:v>2.0376974019358127</c:v>
                </c:pt>
                <c:pt idx="6">
                  <c:v>1.8929150892374256</c:v>
                </c:pt>
                <c:pt idx="7">
                  <c:v>1.3774104683195594</c:v>
                </c:pt>
                <c:pt idx="8">
                  <c:v>1.4172335600907029</c:v>
                </c:pt>
                <c:pt idx="9">
                  <c:v>2.1316280309086064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9665648"/>
        <c:axId val="329666040"/>
      </c:lineChart>
      <c:catAx>
        <c:axId val="3296656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0/00</a:t>
                </a:r>
              </a:p>
            </c:rich>
          </c:tx>
          <c:layout>
            <c:manualLayout>
              <c:xMode val="edge"/>
              <c:yMode val="edge"/>
              <c:x val="1.7114914425427872E-2"/>
              <c:y val="0.1326530612244896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1" i="1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L"/>
          </a:p>
        </c:txPr>
        <c:crossAx val="3296660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29666040"/>
        <c:scaling>
          <c:orientation val="minMax"/>
          <c:max val="4.0999999999999996"/>
          <c:min val="0.60000000000000064"/>
        </c:scaling>
        <c:delete val="0"/>
        <c:axPos val="l"/>
        <c:majorGridlines>
          <c:spPr>
            <a:ln w="12700">
              <a:solidFill>
                <a:srgbClr val="FF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175" b="1" i="1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L"/>
          </a:p>
        </c:txPr>
        <c:crossAx val="329665648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33863080684597946"/>
          <c:y val="0.91326530612244849"/>
          <c:w val="0.37163814180929688"/>
          <c:h val="6.8877551020408739E-2"/>
        </c:manualLayout>
      </c:layout>
      <c:overlay val="0"/>
      <c:spPr>
        <a:noFill/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10" b="1" i="1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L"/>
        </a:p>
      </c:txPr>
    </c:legend>
    <c:plotVisOnly val="1"/>
    <c:dispBlanksAs val="gap"/>
    <c:showDLblsOverMax val="0"/>
  </c:chart>
  <c:spPr>
    <a:gradFill rotWithShape="0">
      <a:gsLst>
        <a:gs pos="0">
          <a:srgbClr val="C0C0C0"/>
        </a:gs>
        <a:gs pos="100000">
          <a:srgbClr val="C0C0C0">
            <a:gamma/>
            <a:tint val="0"/>
            <a:invGamma/>
          </a:srgbClr>
        </a:gs>
      </a:gsLst>
      <a:lin ang="5400000" scaled="1"/>
    </a:gra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2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L"/>
    </a:p>
  </c:txPr>
  <c:printSettings>
    <c:headerFooter alignWithMargins="0"/>
    <c:pageMargins b="1" l="0.75000000000001465" r="0.75000000000001465" t="1" header="0" footer="0"/>
    <c:pageSetup paperSize="9" orientation="landscape" horizontalDpi="300" verticalDpi="300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TASA MORT. INFANTIL  PAIS REGION SERV. SALUD
AÑOS  2004 - 2013 (tasa x mil nac. vivos)
 </a:t>
            </a:r>
          </a:p>
        </c:rich>
      </c:tx>
      <c:layout>
        <c:manualLayout>
          <c:xMode val="edge"/>
          <c:yMode val="edge"/>
          <c:x val="0.20271939112746956"/>
          <c:y val="3.307888040712501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4388133498145932E-2"/>
          <c:y val="0.23409727381837478"/>
          <c:w val="0.94066749072929545"/>
          <c:h val="0.58778772013089997"/>
        </c:manualLayout>
      </c:layout>
      <c:lineChart>
        <c:grouping val="standard"/>
        <c:varyColors val="0"/>
        <c:ser>
          <c:idx val="0"/>
          <c:order val="0"/>
          <c:tx>
            <c:v>PAIS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'29'!$A$11:$A$20</c:f>
              <c:numCache>
                <c:formatCode>General</c:formatCode>
                <c:ptCount val="10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</c:numCache>
            </c:numRef>
          </c:cat>
          <c:val>
            <c:numRef>
              <c:f>'29'!$C$11:$C$19</c:f>
              <c:numCache>
                <c:formatCode>0.0</c:formatCode>
                <c:ptCount val="9"/>
                <c:pt idx="0">
                  <c:v>7.8648448431969715</c:v>
                </c:pt>
                <c:pt idx="1">
                  <c:v>7.5504699028169542</c:v>
                </c:pt>
                <c:pt idx="2">
                  <c:v>8.2998008708800519</c:v>
                </c:pt>
                <c:pt idx="3">
                  <c:v>7.843263570698082</c:v>
                </c:pt>
                <c:pt idx="4">
                  <c:v>7.917063114494133</c:v>
                </c:pt>
                <c:pt idx="5">
                  <c:v>7.4124498903259965</c:v>
                </c:pt>
                <c:pt idx="6">
                  <c:v>7.6663760301190536</c:v>
                </c:pt>
              </c:numCache>
            </c:numRef>
          </c:val>
          <c:smooth val="0"/>
        </c:ser>
        <c:ser>
          <c:idx val="1"/>
          <c:order val="1"/>
          <c:tx>
            <c:v>REGION</c:v>
          </c:tx>
          <c:spPr>
            <a:ln w="38100">
              <a:solidFill>
                <a:srgbClr val="333399"/>
              </a:solidFill>
              <a:prstDash val="solid"/>
            </a:ln>
          </c:spPr>
          <c:marker>
            <c:symbol val="none"/>
          </c:marker>
          <c:cat>
            <c:numRef>
              <c:f>'29'!$A$11:$A$20</c:f>
              <c:numCache>
                <c:formatCode>General</c:formatCode>
                <c:ptCount val="10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</c:numCache>
            </c:numRef>
          </c:cat>
          <c:val>
            <c:numRef>
              <c:f>'29'!$E$11:$E$19</c:f>
              <c:numCache>
                <c:formatCode>0.0</c:formatCode>
                <c:ptCount val="9"/>
                <c:pt idx="0">
                  <c:v>7.6048876356489794</c:v>
                </c:pt>
                <c:pt idx="1">
                  <c:v>7.5833954324288779</c:v>
                </c:pt>
                <c:pt idx="2">
                  <c:v>8.8111520252498696</c:v>
                </c:pt>
                <c:pt idx="3">
                  <c:v>7.2835409214325733</c:v>
                </c:pt>
                <c:pt idx="4">
                  <c:v>8.4263745523488502</c:v>
                </c:pt>
                <c:pt idx="5">
                  <c:v>7.3887489504617969</c:v>
                </c:pt>
                <c:pt idx="6">
                  <c:v>7.1326074111589426</c:v>
                </c:pt>
              </c:numCache>
            </c:numRef>
          </c:val>
          <c:smooth val="0"/>
        </c:ser>
        <c:ser>
          <c:idx val="2"/>
          <c:order val="2"/>
          <c:tx>
            <c:v>S. SALUD</c:v>
          </c:tx>
          <c:spPr>
            <a:ln w="38100">
              <a:solidFill>
                <a:srgbClr val="336666"/>
              </a:solidFill>
              <a:prstDash val="solid"/>
            </a:ln>
          </c:spPr>
          <c:marker>
            <c:symbol val="none"/>
          </c:marker>
          <c:cat>
            <c:numRef>
              <c:f>'29'!$A$11:$A$20</c:f>
              <c:numCache>
                <c:formatCode>General</c:formatCode>
                <c:ptCount val="10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</c:numCache>
            </c:numRef>
          </c:cat>
          <c:val>
            <c:numRef>
              <c:f>'29'!$G$11:$G$20</c:f>
              <c:numCache>
                <c:formatCode>0.0</c:formatCode>
                <c:ptCount val="10"/>
                <c:pt idx="0">
                  <c:v>5.7142857142857144</c:v>
                </c:pt>
                <c:pt idx="1">
                  <c:v>8.7620124364047491</c:v>
                </c:pt>
                <c:pt idx="2">
                  <c:v>9.1412742382271475</c:v>
                </c:pt>
                <c:pt idx="3">
                  <c:v>5.9994545950368146</c:v>
                </c:pt>
                <c:pt idx="4">
                  <c:v>8.6439762290653697</c:v>
                </c:pt>
                <c:pt idx="5">
                  <c:v>9.4243504839531322</c:v>
                </c:pt>
                <c:pt idx="6">
                  <c:v>7.8420767982693338</c:v>
                </c:pt>
                <c:pt idx="7">
                  <c:v>9.0909090909090899</c:v>
                </c:pt>
                <c:pt idx="8">
                  <c:v>6.2358276643990935</c:v>
                </c:pt>
                <c:pt idx="9">
                  <c:v>7.4606981081801225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9757144"/>
        <c:axId val="329757536"/>
      </c:lineChart>
      <c:catAx>
        <c:axId val="3297571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0/00</a:t>
                </a:r>
              </a:p>
            </c:rich>
          </c:tx>
          <c:layout>
            <c:manualLayout>
              <c:xMode val="edge"/>
              <c:yMode val="edge"/>
              <c:x val="6.1804927195839134E-3"/>
              <c:y val="0.1399493765569493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50" b="1" i="1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L"/>
          </a:p>
        </c:txPr>
        <c:crossAx val="3297575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29757536"/>
        <c:scaling>
          <c:orientation val="minMax"/>
          <c:max val="11"/>
          <c:min val="5"/>
        </c:scaling>
        <c:delete val="0"/>
        <c:axPos val="l"/>
        <c:majorGridlines>
          <c:spPr>
            <a:ln w="12700">
              <a:solidFill>
                <a:srgbClr val="FF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50" b="1" i="1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L"/>
          </a:p>
        </c:txPr>
        <c:crossAx val="329757144"/>
        <c:crosses val="autoZero"/>
        <c:crossBetween val="between"/>
        <c:majorUnit val="2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33250922485546597"/>
          <c:y val="0.92112199715493581"/>
          <c:w val="0.37577254554672168"/>
          <c:h val="6.8702557218515994E-2"/>
        </c:manualLayout>
      </c:layout>
      <c:overlay val="0"/>
      <c:spPr>
        <a:noFill/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10" b="1" i="1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L"/>
        </a:p>
      </c:txPr>
    </c:legend>
    <c:plotVisOnly val="1"/>
    <c:dispBlanksAs val="gap"/>
    <c:showDLblsOverMax val="0"/>
  </c:chart>
  <c:spPr>
    <a:gradFill rotWithShape="0">
      <a:gsLst>
        <a:gs pos="0">
          <a:srgbClr val="C0C0C0"/>
        </a:gs>
        <a:gs pos="100000">
          <a:srgbClr val="C0C0C0">
            <a:gamma/>
            <a:tint val="0"/>
            <a:invGamma/>
          </a:srgbClr>
        </a:gs>
      </a:gsLst>
      <a:lin ang="5400000" scaled="1"/>
    </a:gra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23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L"/>
    </a:p>
  </c:txPr>
  <c:printSettings>
    <c:headerFooter alignWithMargins="0"/>
    <c:pageMargins b="1" l="0.75000000000001465" r="0.75000000000001465" t="1" header="0" footer="0"/>
    <c:pageSetup paperSize="9" orientation="landscape" horizontalDpi="300" verticalDpi="300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TASA MORT. INFANTIL  PAIS REGION SERV. SALUD
AÑOS  2005 - 2014 (tasa x mil nac. vivos)
 </a:t>
            </a:r>
          </a:p>
        </c:rich>
      </c:tx>
      <c:layout>
        <c:manualLayout>
          <c:xMode val="edge"/>
          <c:yMode val="edge"/>
          <c:x val="0.20271939112746956"/>
          <c:y val="3.307888040712501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4388133498145932E-2"/>
          <c:y val="0.23409727381837478"/>
          <c:w val="0.94066749072929545"/>
          <c:h val="0.58778772013089997"/>
        </c:manualLayout>
      </c:layout>
      <c:lineChart>
        <c:grouping val="standard"/>
        <c:varyColors val="0"/>
        <c:ser>
          <c:idx val="0"/>
          <c:order val="0"/>
          <c:tx>
            <c:v>PAIS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'29'!$A$11:$A$20</c:f>
              <c:numCache>
                <c:formatCode>General</c:formatCode>
                <c:ptCount val="10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</c:numCache>
            </c:numRef>
          </c:cat>
          <c:val>
            <c:numRef>
              <c:f>'29'!$C$11:$C$19</c:f>
              <c:numCache>
                <c:formatCode>0.0</c:formatCode>
                <c:ptCount val="9"/>
                <c:pt idx="0">
                  <c:v>7.8648448431969715</c:v>
                </c:pt>
                <c:pt idx="1">
                  <c:v>7.5504699028169542</c:v>
                </c:pt>
                <c:pt idx="2">
                  <c:v>8.2998008708800519</c:v>
                </c:pt>
                <c:pt idx="3">
                  <c:v>7.843263570698082</c:v>
                </c:pt>
                <c:pt idx="4">
                  <c:v>7.917063114494133</c:v>
                </c:pt>
                <c:pt idx="5">
                  <c:v>7.4124498903259965</c:v>
                </c:pt>
                <c:pt idx="6">
                  <c:v>7.6663760301190536</c:v>
                </c:pt>
              </c:numCache>
            </c:numRef>
          </c:val>
          <c:smooth val="0"/>
        </c:ser>
        <c:ser>
          <c:idx val="1"/>
          <c:order val="1"/>
          <c:tx>
            <c:v>REGION</c:v>
          </c:tx>
          <c:spPr>
            <a:ln w="38100">
              <a:solidFill>
                <a:srgbClr val="333399"/>
              </a:solidFill>
              <a:prstDash val="solid"/>
            </a:ln>
          </c:spPr>
          <c:marker>
            <c:symbol val="none"/>
          </c:marker>
          <c:cat>
            <c:numRef>
              <c:f>'29'!$A$11:$A$20</c:f>
              <c:numCache>
                <c:formatCode>General</c:formatCode>
                <c:ptCount val="10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</c:numCache>
            </c:numRef>
          </c:cat>
          <c:val>
            <c:numRef>
              <c:f>'29'!$E$11:$E$19</c:f>
              <c:numCache>
                <c:formatCode>0.0</c:formatCode>
                <c:ptCount val="9"/>
                <c:pt idx="0">
                  <c:v>7.6048876356489794</c:v>
                </c:pt>
                <c:pt idx="1">
                  <c:v>7.5833954324288779</c:v>
                </c:pt>
                <c:pt idx="2">
                  <c:v>8.8111520252498696</c:v>
                </c:pt>
                <c:pt idx="3">
                  <c:v>7.2835409214325733</c:v>
                </c:pt>
                <c:pt idx="4">
                  <c:v>8.4263745523488502</c:v>
                </c:pt>
                <c:pt idx="5">
                  <c:v>7.3887489504617969</c:v>
                </c:pt>
                <c:pt idx="6">
                  <c:v>7.1326074111589426</c:v>
                </c:pt>
              </c:numCache>
            </c:numRef>
          </c:val>
          <c:smooth val="0"/>
        </c:ser>
        <c:ser>
          <c:idx val="2"/>
          <c:order val="2"/>
          <c:tx>
            <c:v>S. SALUD</c:v>
          </c:tx>
          <c:spPr>
            <a:ln w="38100">
              <a:solidFill>
                <a:srgbClr val="336666"/>
              </a:solidFill>
              <a:prstDash val="solid"/>
            </a:ln>
          </c:spPr>
          <c:marker>
            <c:symbol val="none"/>
          </c:marker>
          <c:cat>
            <c:numRef>
              <c:f>'29'!$A$11:$A$20</c:f>
              <c:numCache>
                <c:formatCode>General</c:formatCode>
                <c:ptCount val="10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</c:numCache>
            </c:numRef>
          </c:cat>
          <c:val>
            <c:numRef>
              <c:f>'29'!$G$11:$G$20</c:f>
              <c:numCache>
                <c:formatCode>0.0</c:formatCode>
                <c:ptCount val="10"/>
                <c:pt idx="0">
                  <c:v>5.7142857142857144</c:v>
                </c:pt>
                <c:pt idx="1">
                  <c:v>8.7620124364047491</c:v>
                </c:pt>
                <c:pt idx="2">
                  <c:v>9.1412742382271475</c:v>
                </c:pt>
                <c:pt idx="3">
                  <c:v>5.9994545950368146</c:v>
                </c:pt>
                <c:pt idx="4">
                  <c:v>8.6439762290653697</c:v>
                </c:pt>
                <c:pt idx="5">
                  <c:v>9.4243504839531322</c:v>
                </c:pt>
                <c:pt idx="6">
                  <c:v>7.8420767982693338</c:v>
                </c:pt>
                <c:pt idx="7">
                  <c:v>9.0909090909090899</c:v>
                </c:pt>
                <c:pt idx="8">
                  <c:v>6.2358276643990935</c:v>
                </c:pt>
                <c:pt idx="9">
                  <c:v>7.4606981081801225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9758320"/>
        <c:axId val="329758712"/>
      </c:lineChart>
      <c:catAx>
        <c:axId val="3297583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0/00</a:t>
                </a:r>
              </a:p>
            </c:rich>
          </c:tx>
          <c:layout>
            <c:manualLayout>
              <c:xMode val="edge"/>
              <c:yMode val="edge"/>
              <c:x val="6.1804927195839134E-3"/>
              <c:y val="0.1399493765569493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50" b="1" i="1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L"/>
          </a:p>
        </c:txPr>
        <c:crossAx val="329758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29758712"/>
        <c:scaling>
          <c:orientation val="minMax"/>
          <c:max val="11"/>
          <c:min val="5"/>
        </c:scaling>
        <c:delete val="0"/>
        <c:axPos val="l"/>
        <c:majorGridlines>
          <c:spPr>
            <a:ln w="12700">
              <a:solidFill>
                <a:srgbClr val="FF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50" b="1" i="1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L"/>
          </a:p>
        </c:txPr>
        <c:crossAx val="329758320"/>
        <c:crosses val="autoZero"/>
        <c:crossBetween val="between"/>
        <c:majorUnit val="2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33250922485546597"/>
          <c:y val="0.92112199715493581"/>
          <c:w val="0.37577254554672168"/>
          <c:h val="6.8702557218515994E-2"/>
        </c:manualLayout>
      </c:layout>
      <c:overlay val="0"/>
      <c:spPr>
        <a:noFill/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10" b="1" i="1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L"/>
        </a:p>
      </c:txPr>
    </c:legend>
    <c:plotVisOnly val="1"/>
    <c:dispBlanksAs val="gap"/>
    <c:showDLblsOverMax val="0"/>
  </c:chart>
  <c:spPr>
    <a:gradFill rotWithShape="0">
      <a:gsLst>
        <a:gs pos="0">
          <a:srgbClr val="C0C0C0"/>
        </a:gs>
        <a:gs pos="100000">
          <a:srgbClr val="C0C0C0">
            <a:gamma/>
            <a:tint val="0"/>
            <a:invGamma/>
          </a:srgbClr>
        </a:gs>
      </a:gsLst>
      <a:lin ang="5400000" scaled="1"/>
    </a:gra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23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L"/>
    </a:p>
  </c:txPr>
  <c:printSettings>
    <c:headerFooter alignWithMargins="0"/>
    <c:pageMargins b="1" l="0.75000000000001465" r="0.75000000000001465" t="1" header="0" footer="0"/>
    <c:pageSetup paperSize="9" orientation="landscape" horizontalDpi="300" verticalDpi="300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TASA MORT. MATERNA PAIS REGION SERV. SALUD
AÑOS  2004 - 2013 (tasa x 10mil nac. vivos)
 </a:t>
            </a:r>
          </a:p>
        </c:rich>
      </c:tx>
      <c:layout>
        <c:manualLayout>
          <c:xMode val="edge"/>
          <c:yMode val="edge"/>
          <c:x val="0.19264918881338094"/>
          <c:y val="3.316326530612245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7034291124908494E-2"/>
          <c:y val="0.24489795918367346"/>
          <c:w val="0.92268808753179465"/>
          <c:h val="0.55102040816326525"/>
        </c:manualLayout>
      </c:layout>
      <c:lineChart>
        <c:grouping val="standard"/>
        <c:varyColors val="0"/>
        <c:ser>
          <c:idx val="0"/>
          <c:order val="0"/>
          <c:tx>
            <c:v>PAIS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'31'!$A$11:$A$20</c:f>
              <c:numCache>
                <c:formatCode>General</c:formatCode>
                <c:ptCount val="10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</c:numCache>
            </c:numRef>
          </c:cat>
          <c:val>
            <c:numRef>
              <c:f>'31'!$C$11:$C$19</c:f>
              <c:numCache>
                <c:formatCode>0.0</c:formatCode>
                <c:ptCount val="9"/>
                <c:pt idx="0">
                  <c:v>1.9754712322001811</c:v>
                </c:pt>
                <c:pt idx="1">
                  <c:v>1.9297013889744252</c:v>
                </c:pt>
                <c:pt idx="2">
                  <c:v>1.8177761986994638</c:v>
                </c:pt>
                <c:pt idx="3">
                  <c:v>1.6507895605678715</c:v>
                </c:pt>
                <c:pt idx="4">
                  <c:v>1.9822391373295274</c:v>
                </c:pt>
                <c:pt idx="5">
                  <c:v>1.8312174809613095</c:v>
                </c:pt>
                <c:pt idx="6">
                  <c:v>1.8482877221461032</c:v>
                </c:pt>
              </c:numCache>
            </c:numRef>
          </c:val>
          <c:smooth val="0"/>
        </c:ser>
        <c:ser>
          <c:idx val="1"/>
          <c:order val="1"/>
          <c:tx>
            <c:v>REGION</c:v>
          </c:tx>
          <c:spPr>
            <a:ln w="38100">
              <a:solidFill>
                <a:srgbClr val="333399"/>
              </a:solidFill>
              <a:prstDash val="solid"/>
            </a:ln>
          </c:spPr>
          <c:marker>
            <c:symbol val="none"/>
          </c:marker>
          <c:cat>
            <c:numRef>
              <c:f>'31'!$A$11:$A$20</c:f>
              <c:numCache>
                <c:formatCode>General</c:formatCode>
                <c:ptCount val="10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</c:numCache>
            </c:numRef>
          </c:cat>
          <c:val>
            <c:numRef>
              <c:f>'31'!$E$11:$E$19</c:f>
              <c:numCache>
                <c:formatCode>0.0</c:formatCode>
                <c:ptCount val="9"/>
                <c:pt idx="0">
                  <c:v>3.8451679056652144</c:v>
                </c:pt>
                <c:pt idx="1">
                  <c:v>4.8218121246657608</c:v>
                </c:pt>
                <c:pt idx="2">
                  <c:v>1.7534630896019641</c:v>
                </c:pt>
                <c:pt idx="3">
                  <c:v>1.2929362582424686</c:v>
                </c:pt>
                <c:pt idx="4">
                  <c:v>2.106593638087213</c:v>
                </c:pt>
                <c:pt idx="5">
                  <c:v>1.6792611251049538</c:v>
                </c:pt>
                <c:pt idx="6">
                  <c:v>0</c:v>
                </c:pt>
              </c:numCache>
            </c:numRef>
          </c:val>
          <c:smooth val="0"/>
        </c:ser>
        <c:ser>
          <c:idx val="2"/>
          <c:order val="2"/>
          <c:tx>
            <c:v>S. SALUD</c:v>
          </c:tx>
          <c:spPr>
            <a:ln w="38100">
              <a:solidFill>
                <a:srgbClr val="336666"/>
              </a:solidFill>
              <a:prstDash val="solid"/>
            </a:ln>
          </c:spPr>
          <c:marker>
            <c:symbol val="none"/>
          </c:marker>
          <c:cat>
            <c:numRef>
              <c:f>'31'!$A$11:$A$20</c:f>
              <c:numCache>
                <c:formatCode>General</c:formatCode>
                <c:ptCount val="10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</c:numCache>
            </c:numRef>
          </c:cat>
          <c:val>
            <c:numRef>
              <c:f>'31'!$G$11:$G$20</c:f>
              <c:numCache>
                <c:formatCode>0.0</c:formatCode>
                <c:ptCount val="10"/>
                <c:pt idx="0">
                  <c:v>2.7210884353741496</c:v>
                </c:pt>
                <c:pt idx="1">
                  <c:v>8.4793668739400783</c:v>
                </c:pt>
                <c:pt idx="2">
                  <c:v>0</c:v>
                </c:pt>
                <c:pt idx="3">
                  <c:v>0</c:v>
                </c:pt>
                <c:pt idx="4">
                  <c:v>5.4024851431658565</c:v>
                </c:pt>
                <c:pt idx="5">
                  <c:v>0</c:v>
                </c:pt>
                <c:pt idx="6">
                  <c:v>0</c:v>
                </c:pt>
                <c:pt idx="7">
                  <c:v>2.7548209366391183</c:v>
                </c:pt>
                <c:pt idx="8">
                  <c:v>0</c:v>
                </c:pt>
                <c:pt idx="9">
                  <c:v>5.329070077271516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9759104"/>
        <c:axId val="329759496"/>
      </c:lineChart>
      <c:catAx>
        <c:axId val="3297591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0/000</a:t>
                </a:r>
              </a:p>
            </c:rich>
          </c:tx>
          <c:layout>
            <c:manualLayout>
              <c:xMode val="edge"/>
              <c:yMode val="edge"/>
              <c:x val="6.3371356147021813E-3"/>
              <c:y val="0.1530612244898016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1" i="1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L"/>
          </a:p>
        </c:txPr>
        <c:crossAx val="3297594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29759496"/>
        <c:scaling>
          <c:orientation val="minMax"/>
          <c:max val="9"/>
          <c:min val="0"/>
        </c:scaling>
        <c:delete val="0"/>
        <c:axPos val="l"/>
        <c:majorGridlines>
          <c:spPr>
            <a:ln w="12700">
              <a:solidFill>
                <a:srgbClr val="FF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125" b="1" i="1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L"/>
          </a:p>
        </c:txPr>
        <c:crossAx val="329759104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32065946129358897"/>
          <c:y val="0.9056122448979218"/>
          <c:w val="0.38529837762675995"/>
          <c:h val="6.8877551020412403E-2"/>
        </c:manualLayout>
      </c:layout>
      <c:overlay val="0"/>
      <c:spPr>
        <a:noFill/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10" b="1" i="1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L"/>
        </a:p>
      </c:txPr>
    </c:legend>
    <c:plotVisOnly val="1"/>
    <c:dispBlanksAs val="gap"/>
    <c:showDLblsOverMax val="0"/>
  </c:chart>
  <c:spPr>
    <a:gradFill rotWithShape="0">
      <a:gsLst>
        <a:gs pos="0">
          <a:srgbClr val="C0C0C0"/>
        </a:gs>
        <a:gs pos="100000">
          <a:srgbClr val="C0C0C0">
            <a:gamma/>
            <a:tint val="0"/>
            <a:invGamma/>
          </a:srgbClr>
        </a:gs>
      </a:gsLst>
      <a:lin ang="5400000" scaled="1"/>
    </a:gra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2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L"/>
    </a:p>
  </c:txPr>
  <c:printSettings>
    <c:headerFooter alignWithMargins="0"/>
    <c:pageMargins b="1" l="0.75000000000001465" r="0.75000000000001465" t="1" header="0" footer="0"/>
    <c:pageSetup paperSize="9" orientation="landscape" horizontalDpi="300" verticalDpi="300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125" b="1" i="0" strike="noStrike">
                <a:solidFill>
                  <a:srgbClr val="000000"/>
                </a:solidFill>
                <a:latin typeface="Arial"/>
                <a:cs typeface="Arial"/>
              </a:rPr>
              <a:t>PIRAMIDE  DE  POBLACION 1990 - 2013</a:t>
            </a:r>
          </a:p>
          <a:p>
            <a:pPr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850" b="1" i="0" strike="noStrike">
                <a:solidFill>
                  <a:srgbClr val="000000"/>
                </a:solidFill>
                <a:latin typeface="Arial"/>
                <a:cs typeface="Arial"/>
              </a:rPr>
              <a:t>SERVICIO  DE  SALUD  ACONCAGUA</a:t>
            </a:r>
          </a:p>
        </c:rich>
      </c:tx>
      <c:layout>
        <c:manualLayout>
          <c:xMode val="edge"/>
          <c:yMode val="edge"/>
          <c:x val="0.19654450321139671"/>
          <c:y val="2.582159624413143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3.2397442373787604E-2"/>
          <c:y val="0.10798134442550666"/>
          <c:w val="0.95896429426413365"/>
          <c:h val="0.84507139115613905"/>
        </c:manualLayout>
      </c:layout>
      <c:barChart>
        <c:barDir val="bar"/>
        <c:grouping val="clustered"/>
        <c:varyColors val="0"/>
        <c:ser>
          <c:idx val="0"/>
          <c:order val="0"/>
          <c:tx>
            <c:v>HOMBRES</c:v>
          </c:tx>
          <c:spPr>
            <a:solidFill>
              <a:srgbClr val="008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'10'!$A$4:$A$41</c:f>
              <c:strCache>
                <c:ptCount val="3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 y +</c:v>
                </c:pt>
                <c:pt idx="21">
                  <c:v>0-4</c:v>
                </c:pt>
                <c:pt idx="22">
                  <c:v>5-9</c:v>
                </c:pt>
                <c:pt idx="23">
                  <c:v>10-14</c:v>
                </c:pt>
                <c:pt idx="24">
                  <c:v>15-19</c:v>
                </c:pt>
                <c:pt idx="25">
                  <c:v>20-24</c:v>
                </c:pt>
                <c:pt idx="26">
                  <c:v>25-29</c:v>
                </c:pt>
                <c:pt idx="27">
                  <c:v>30-34</c:v>
                </c:pt>
                <c:pt idx="28">
                  <c:v>35-39</c:v>
                </c:pt>
                <c:pt idx="29">
                  <c:v>40-44</c:v>
                </c:pt>
                <c:pt idx="30">
                  <c:v>45-49</c:v>
                </c:pt>
                <c:pt idx="31">
                  <c:v>50-54</c:v>
                </c:pt>
                <c:pt idx="32">
                  <c:v>55-59</c:v>
                </c:pt>
                <c:pt idx="33">
                  <c:v>60-64</c:v>
                </c:pt>
                <c:pt idx="34">
                  <c:v>65-69</c:v>
                </c:pt>
                <c:pt idx="35">
                  <c:v>70-74</c:v>
                </c:pt>
                <c:pt idx="36">
                  <c:v>75-79</c:v>
                </c:pt>
                <c:pt idx="37">
                  <c:v>80 y +</c:v>
                </c:pt>
              </c:strCache>
            </c:strRef>
          </c:cat>
          <c:val>
            <c:numRef>
              <c:f>'10'!$B$4:$B$41</c:f>
              <c:numCache>
                <c:formatCode>General</c:formatCode>
                <c:ptCount val="38"/>
                <c:pt idx="0">
                  <c:v>-10691</c:v>
                </c:pt>
                <c:pt idx="1">
                  <c:v>-9882</c:v>
                </c:pt>
                <c:pt idx="2">
                  <c:v>-9065</c:v>
                </c:pt>
                <c:pt idx="3">
                  <c:v>-8589</c:v>
                </c:pt>
                <c:pt idx="4">
                  <c:v>-8182</c:v>
                </c:pt>
                <c:pt idx="5">
                  <c:v>-9329</c:v>
                </c:pt>
                <c:pt idx="6">
                  <c:v>-8085</c:v>
                </c:pt>
                <c:pt idx="7">
                  <c:v>-6485</c:v>
                </c:pt>
                <c:pt idx="8">
                  <c:v>-5697</c:v>
                </c:pt>
                <c:pt idx="9">
                  <c:v>-4926</c:v>
                </c:pt>
                <c:pt idx="10">
                  <c:v>-3596</c:v>
                </c:pt>
                <c:pt idx="11">
                  <c:v>-3190</c:v>
                </c:pt>
                <c:pt idx="12">
                  <c:v>-2747</c:v>
                </c:pt>
                <c:pt idx="13">
                  <c:v>-1966</c:v>
                </c:pt>
                <c:pt idx="14">
                  <c:v>-1668</c:v>
                </c:pt>
                <c:pt idx="15">
                  <c:v>-969</c:v>
                </c:pt>
                <c:pt idx="16">
                  <c:v>-784</c:v>
                </c:pt>
                <c:pt idx="21">
                  <c:v>-10001</c:v>
                </c:pt>
                <c:pt idx="22">
                  <c:v>-10126</c:v>
                </c:pt>
                <c:pt idx="23">
                  <c:v>-10470</c:v>
                </c:pt>
                <c:pt idx="24">
                  <c:v>-11314</c:v>
                </c:pt>
                <c:pt idx="25">
                  <c:v>-11665</c:v>
                </c:pt>
                <c:pt idx="26">
                  <c:v>-11167</c:v>
                </c:pt>
                <c:pt idx="27">
                  <c:v>-10142</c:v>
                </c:pt>
                <c:pt idx="28">
                  <c:v>-8126</c:v>
                </c:pt>
                <c:pt idx="29">
                  <c:v>-8592</c:v>
                </c:pt>
                <c:pt idx="30">
                  <c:v>-8769</c:v>
                </c:pt>
                <c:pt idx="31">
                  <c:v>-8946</c:v>
                </c:pt>
                <c:pt idx="32">
                  <c:v>-7472</c:v>
                </c:pt>
                <c:pt idx="33">
                  <c:v>-6031</c:v>
                </c:pt>
                <c:pt idx="34">
                  <c:v>-5010</c:v>
                </c:pt>
                <c:pt idx="35">
                  <c:v>-3792</c:v>
                </c:pt>
                <c:pt idx="36">
                  <c:v>-2441</c:v>
                </c:pt>
                <c:pt idx="37">
                  <c:v>-2486</c:v>
                </c:pt>
              </c:numCache>
            </c:numRef>
          </c:val>
        </c:ser>
        <c:ser>
          <c:idx val="1"/>
          <c:order val="1"/>
          <c:tx>
            <c:v>MUJERES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'10'!$A$4:$A$41</c:f>
              <c:strCache>
                <c:ptCount val="3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 y +</c:v>
                </c:pt>
                <c:pt idx="21">
                  <c:v>0-4</c:v>
                </c:pt>
                <c:pt idx="22">
                  <c:v>5-9</c:v>
                </c:pt>
                <c:pt idx="23">
                  <c:v>10-14</c:v>
                </c:pt>
                <c:pt idx="24">
                  <c:v>15-19</c:v>
                </c:pt>
                <c:pt idx="25">
                  <c:v>20-24</c:v>
                </c:pt>
                <c:pt idx="26">
                  <c:v>25-29</c:v>
                </c:pt>
                <c:pt idx="27">
                  <c:v>30-34</c:v>
                </c:pt>
                <c:pt idx="28">
                  <c:v>35-39</c:v>
                </c:pt>
                <c:pt idx="29">
                  <c:v>40-44</c:v>
                </c:pt>
                <c:pt idx="30">
                  <c:v>45-49</c:v>
                </c:pt>
                <c:pt idx="31">
                  <c:v>50-54</c:v>
                </c:pt>
                <c:pt idx="32">
                  <c:v>55-59</c:v>
                </c:pt>
                <c:pt idx="33">
                  <c:v>60-64</c:v>
                </c:pt>
                <c:pt idx="34">
                  <c:v>65-69</c:v>
                </c:pt>
                <c:pt idx="35">
                  <c:v>70-74</c:v>
                </c:pt>
                <c:pt idx="36">
                  <c:v>75-79</c:v>
                </c:pt>
                <c:pt idx="37">
                  <c:v>80 y +</c:v>
                </c:pt>
              </c:strCache>
            </c:strRef>
          </c:cat>
          <c:val>
            <c:numRef>
              <c:f>'10'!$C$4:$C$41</c:f>
              <c:numCache>
                <c:formatCode>General</c:formatCode>
                <c:ptCount val="38"/>
                <c:pt idx="0">
                  <c:v>10398</c:v>
                </c:pt>
                <c:pt idx="1">
                  <c:v>9628</c:v>
                </c:pt>
                <c:pt idx="2">
                  <c:v>8566</c:v>
                </c:pt>
                <c:pt idx="3">
                  <c:v>8468</c:v>
                </c:pt>
                <c:pt idx="4">
                  <c:v>8273</c:v>
                </c:pt>
                <c:pt idx="5">
                  <c:v>9153</c:v>
                </c:pt>
                <c:pt idx="6">
                  <c:v>7794</c:v>
                </c:pt>
                <c:pt idx="7">
                  <c:v>6425</c:v>
                </c:pt>
                <c:pt idx="8">
                  <c:v>5440</c:v>
                </c:pt>
                <c:pt idx="9">
                  <c:v>4615</c:v>
                </c:pt>
                <c:pt idx="10">
                  <c:v>3579</c:v>
                </c:pt>
                <c:pt idx="11">
                  <c:v>3395</c:v>
                </c:pt>
                <c:pt idx="12">
                  <c:v>3067</c:v>
                </c:pt>
                <c:pt idx="13">
                  <c:v>2348</c:v>
                </c:pt>
                <c:pt idx="14">
                  <c:v>1893</c:v>
                </c:pt>
                <c:pt idx="15">
                  <c:v>1312</c:v>
                </c:pt>
                <c:pt idx="16">
                  <c:v>1156</c:v>
                </c:pt>
                <c:pt idx="21">
                  <c:v>9579</c:v>
                </c:pt>
                <c:pt idx="22">
                  <c:v>9647</c:v>
                </c:pt>
                <c:pt idx="23">
                  <c:v>9728</c:v>
                </c:pt>
                <c:pt idx="24">
                  <c:v>10272</c:v>
                </c:pt>
                <c:pt idx="25">
                  <c:v>10963</c:v>
                </c:pt>
                <c:pt idx="26">
                  <c:v>10563</c:v>
                </c:pt>
                <c:pt idx="27">
                  <c:v>9557</c:v>
                </c:pt>
                <c:pt idx="28">
                  <c:v>8490</c:v>
                </c:pt>
                <c:pt idx="29">
                  <c:v>9176</c:v>
                </c:pt>
                <c:pt idx="30">
                  <c:v>9387</c:v>
                </c:pt>
                <c:pt idx="31">
                  <c:v>9508</c:v>
                </c:pt>
                <c:pt idx="32">
                  <c:v>7968</c:v>
                </c:pt>
                <c:pt idx="33">
                  <c:v>6465</c:v>
                </c:pt>
                <c:pt idx="34">
                  <c:v>5292</c:v>
                </c:pt>
                <c:pt idx="35">
                  <c:v>4173</c:v>
                </c:pt>
                <c:pt idx="36">
                  <c:v>2955</c:v>
                </c:pt>
                <c:pt idx="37">
                  <c:v>3695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293746360"/>
        <c:axId val="327682000"/>
      </c:barChart>
      <c:catAx>
        <c:axId val="29374636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4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L"/>
          </a:p>
        </c:txPr>
        <c:crossAx val="3276820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27682000"/>
        <c:scaling>
          <c:orientation val="minMax"/>
          <c:max val="12000"/>
          <c:min val="-12000"/>
        </c:scaling>
        <c:delete val="0"/>
        <c:axPos val="b"/>
        <c:numFmt formatCode="General" sourceLinked="1"/>
        <c:majorTickMark val="none"/>
        <c:minorTickMark val="none"/>
        <c:tickLblPos val="none"/>
        <c:spPr>
          <a:ln w="3175">
            <a:solidFill>
              <a:srgbClr val="000000"/>
            </a:solidFill>
            <a:prstDash val="solid"/>
          </a:ln>
        </c:spPr>
        <c:crossAx val="293746360"/>
        <c:crosses val="autoZero"/>
        <c:crossBetween val="between"/>
        <c:majorUnit val="3000"/>
      </c:valAx>
      <c:spPr>
        <a:noFill/>
        <a:ln w="12700">
          <a:solidFill>
            <a:srgbClr val="FFFFFF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35853177100162692"/>
          <c:y val="0.96596355033085668"/>
          <c:w val="0.28293759176431182"/>
          <c:h val="2.582159624413193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L"/>
    </a:p>
  </c:txPr>
  <c:printSettings>
    <c:headerFooter alignWithMargins="0"/>
    <c:pageMargins b="1" l="0.75000000000001465" r="0.75000000000001465" t="1" header="0" footer="0"/>
    <c:pageSetup paperSize="304" orientation="portrait" horizontalDpi="300" verticalDpi="300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TASA MORT. MATERNA PAIS REGION SERV. SALUD
AÑOS  2005 - 2014 (tasa x 10mil nac. vivos)
 </a:t>
            </a:r>
          </a:p>
        </c:rich>
      </c:tx>
      <c:layout>
        <c:manualLayout>
          <c:xMode val="edge"/>
          <c:yMode val="edge"/>
          <c:x val="0.19264918881338094"/>
          <c:y val="3.316326530612245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7034291124908494E-2"/>
          <c:y val="0.24489795918367346"/>
          <c:w val="0.92268808753179465"/>
          <c:h val="0.55102040816326525"/>
        </c:manualLayout>
      </c:layout>
      <c:lineChart>
        <c:grouping val="standard"/>
        <c:varyColors val="0"/>
        <c:ser>
          <c:idx val="0"/>
          <c:order val="0"/>
          <c:tx>
            <c:v>PAIS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'31'!$A$11:$A$20</c:f>
              <c:numCache>
                <c:formatCode>General</c:formatCode>
                <c:ptCount val="10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</c:numCache>
            </c:numRef>
          </c:cat>
          <c:val>
            <c:numRef>
              <c:f>'31'!$C$11:$C$19</c:f>
              <c:numCache>
                <c:formatCode>0.0</c:formatCode>
                <c:ptCount val="9"/>
                <c:pt idx="0">
                  <c:v>1.9754712322001811</c:v>
                </c:pt>
                <c:pt idx="1">
                  <c:v>1.9297013889744252</c:v>
                </c:pt>
                <c:pt idx="2">
                  <c:v>1.8177761986994638</c:v>
                </c:pt>
                <c:pt idx="3">
                  <c:v>1.6507895605678715</c:v>
                </c:pt>
                <c:pt idx="4">
                  <c:v>1.9822391373295274</c:v>
                </c:pt>
                <c:pt idx="5">
                  <c:v>1.8312174809613095</c:v>
                </c:pt>
                <c:pt idx="6">
                  <c:v>1.8482877221461032</c:v>
                </c:pt>
              </c:numCache>
            </c:numRef>
          </c:val>
          <c:smooth val="0"/>
        </c:ser>
        <c:ser>
          <c:idx val="1"/>
          <c:order val="1"/>
          <c:tx>
            <c:v>REGION</c:v>
          </c:tx>
          <c:spPr>
            <a:ln w="38100">
              <a:solidFill>
                <a:srgbClr val="333399"/>
              </a:solidFill>
              <a:prstDash val="solid"/>
            </a:ln>
          </c:spPr>
          <c:marker>
            <c:symbol val="none"/>
          </c:marker>
          <c:cat>
            <c:numRef>
              <c:f>'31'!$A$11:$A$20</c:f>
              <c:numCache>
                <c:formatCode>General</c:formatCode>
                <c:ptCount val="10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</c:numCache>
            </c:numRef>
          </c:cat>
          <c:val>
            <c:numRef>
              <c:f>'31'!$E$11:$E$19</c:f>
              <c:numCache>
                <c:formatCode>0.0</c:formatCode>
                <c:ptCount val="9"/>
                <c:pt idx="0">
                  <c:v>3.8451679056652144</c:v>
                </c:pt>
                <c:pt idx="1">
                  <c:v>4.8218121246657608</c:v>
                </c:pt>
                <c:pt idx="2">
                  <c:v>1.7534630896019641</c:v>
                </c:pt>
                <c:pt idx="3">
                  <c:v>1.2929362582424686</c:v>
                </c:pt>
                <c:pt idx="4">
                  <c:v>2.106593638087213</c:v>
                </c:pt>
                <c:pt idx="5">
                  <c:v>1.6792611251049538</c:v>
                </c:pt>
                <c:pt idx="6">
                  <c:v>0</c:v>
                </c:pt>
              </c:numCache>
            </c:numRef>
          </c:val>
          <c:smooth val="0"/>
        </c:ser>
        <c:ser>
          <c:idx val="2"/>
          <c:order val="2"/>
          <c:tx>
            <c:v>S. SALUD</c:v>
          </c:tx>
          <c:spPr>
            <a:ln w="38100">
              <a:solidFill>
                <a:srgbClr val="336666"/>
              </a:solidFill>
              <a:prstDash val="solid"/>
            </a:ln>
          </c:spPr>
          <c:marker>
            <c:symbol val="none"/>
          </c:marker>
          <c:cat>
            <c:numRef>
              <c:f>'31'!$A$11:$A$20</c:f>
              <c:numCache>
                <c:formatCode>General</c:formatCode>
                <c:ptCount val="10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</c:numCache>
            </c:numRef>
          </c:cat>
          <c:val>
            <c:numRef>
              <c:f>'31'!$G$11:$G$20</c:f>
              <c:numCache>
                <c:formatCode>0.0</c:formatCode>
                <c:ptCount val="10"/>
                <c:pt idx="0">
                  <c:v>2.7210884353741496</c:v>
                </c:pt>
                <c:pt idx="1">
                  <c:v>8.4793668739400783</c:v>
                </c:pt>
                <c:pt idx="2">
                  <c:v>0</c:v>
                </c:pt>
                <c:pt idx="3">
                  <c:v>0</c:v>
                </c:pt>
                <c:pt idx="4">
                  <c:v>5.4024851431658565</c:v>
                </c:pt>
                <c:pt idx="5">
                  <c:v>0</c:v>
                </c:pt>
                <c:pt idx="6">
                  <c:v>0</c:v>
                </c:pt>
                <c:pt idx="7">
                  <c:v>2.7548209366391183</c:v>
                </c:pt>
                <c:pt idx="8">
                  <c:v>0</c:v>
                </c:pt>
                <c:pt idx="9">
                  <c:v>5.329070077271516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9760280"/>
        <c:axId val="330766168"/>
      </c:lineChart>
      <c:catAx>
        <c:axId val="3297602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0/000</a:t>
                </a:r>
              </a:p>
            </c:rich>
          </c:tx>
          <c:layout>
            <c:manualLayout>
              <c:xMode val="edge"/>
              <c:yMode val="edge"/>
              <c:x val="6.3371356147021813E-3"/>
              <c:y val="0.1530612244898016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1" i="1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L"/>
          </a:p>
        </c:txPr>
        <c:crossAx val="3307661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30766168"/>
        <c:scaling>
          <c:orientation val="minMax"/>
          <c:max val="9"/>
          <c:min val="0"/>
        </c:scaling>
        <c:delete val="0"/>
        <c:axPos val="l"/>
        <c:majorGridlines>
          <c:spPr>
            <a:ln w="12700">
              <a:solidFill>
                <a:srgbClr val="FF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125" b="1" i="1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L"/>
          </a:p>
        </c:txPr>
        <c:crossAx val="329760280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32065946129358897"/>
          <c:y val="0.9056122448979218"/>
          <c:w val="0.38529837762675995"/>
          <c:h val="6.8877551020412403E-2"/>
        </c:manualLayout>
      </c:layout>
      <c:overlay val="0"/>
      <c:spPr>
        <a:noFill/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10" b="1" i="1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L"/>
        </a:p>
      </c:txPr>
    </c:legend>
    <c:plotVisOnly val="1"/>
    <c:dispBlanksAs val="gap"/>
    <c:showDLblsOverMax val="0"/>
  </c:chart>
  <c:spPr>
    <a:gradFill rotWithShape="0">
      <a:gsLst>
        <a:gs pos="0">
          <a:srgbClr val="C0C0C0"/>
        </a:gs>
        <a:gs pos="100000">
          <a:srgbClr val="C0C0C0">
            <a:gamma/>
            <a:tint val="0"/>
            <a:invGamma/>
          </a:srgbClr>
        </a:gs>
      </a:gsLst>
      <a:lin ang="5400000" scaled="1"/>
    </a:gra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2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L"/>
    </a:p>
  </c:txPr>
  <c:printSettings>
    <c:headerFooter alignWithMargins="0"/>
    <c:pageMargins b="1" l="0.75000000000001465" r="0.75000000000001465" t="1" header="0" footer="0"/>
    <c:pageSetup paperSize="9" orientation="landscape" horizontalDpi="300" verticalDpi="300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1199546979915906E-2"/>
          <c:y val="0.21794926369508164"/>
          <c:w val="0.92166517751753363"/>
          <c:h val="0.58461684849972051"/>
        </c:manualLayout>
      </c:layout>
      <c:lineChart>
        <c:grouping val="standard"/>
        <c:varyColors val="0"/>
        <c:ser>
          <c:idx val="0"/>
          <c:order val="0"/>
          <c:tx>
            <c:v>PAIS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'33'!$A$11:$A$20</c:f>
              <c:numCache>
                <c:formatCode>General</c:formatCode>
                <c:ptCount val="10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</c:numCache>
            </c:numRef>
          </c:cat>
          <c:val>
            <c:numRef>
              <c:f>'33'!$C$11:$C$20</c:f>
              <c:numCache>
                <c:formatCode>0.0</c:formatCode>
                <c:ptCount val="10"/>
                <c:pt idx="0">
                  <c:v>5.2929568179753241</c:v>
                </c:pt>
                <c:pt idx="1">
                  <c:v>5.2115072689934694</c:v>
                </c:pt>
                <c:pt idx="2">
                  <c:v>5.60305972849621</c:v>
                </c:pt>
                <c:pt idx="3">
                  <c:v>5.3788386294722992</c:v>
                </c:pt>
                <c:pt idx="4">
                  <c:v>5.432434870295265</c:v>
                </c:pt>
                <c:pt idx="5">
                  <c:v>5.7288202421045176</c:v>
                </c:pt>
                <c:pt idx="6">
                  <c:v>5.5068716319437394</c:v>
                </c:pt>
                <c:pt idx="7">
                  <c:v>5.6721886289601056</c:v>
                </c:pt>
              </c:numCache>
            </c:numRef>
          </c:val>
          <c:smooth val="0"/>
        </c:ser>
        <c:ser>
          <c:idx val="1"/>
          <c:order val="1"/>
          <c:tx>
            <c:v>REGION</c:v>
          </c:tx>
          <c:spPr>
            <a:ln w="38100">
              <a:solidFill>
                <a:srgbClr val="333399"/>
              </a:solidFill>
              <a:prstDash val="solid"/>
            </a:ln>
          </c:spPr>
          <c:marker>
            <c:symbol val="none"/>
          </c:marker>
          <c:cat>
            <c:numRef>
              <c:f>'33'!$A$11:$A$20</c:f>
              <c:numCache>
                <c:formatCode>General</c:formatCode>
                <c:ptCount val="10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</c:numCache>
            </c:numRef>
          </c:cat>
          <c:val>
            <c:numRef>
              <c:f>'33'!$E$11:$E$20</c:f>
              <c:numCache>
                <c:formatCode>0.0</c:formatCode>
                <c:ptCount val="10"/>
                <c:pt idx="0">
                  <c:v>5.9541422787404645</c:v>
                </c:pt>
                <c:pt idx="1">
                  <c:v>6.0332757631517149</c:v>
                </c:pt>
                <c:pt idx="2">
                  <c:v>6.4139451581826288</c:v>
                </c:pt>
                <c:pt idx="3">
                  <c:v>6.154291439903103</c:v>
                </c:pt>
                <c:pt idx="4">
                  <c:v>6.203315638585738</c:v>
                </c:pt>
                <c:pt idx="5">
                  <c:v>6.510467738423924</c:v>
                </c:pt>
                <c:pt idx="6">
                  <c:v>6.2847755517673995</c:v>
                </c:pt>
                <c:pt idx="7">
                  <c:v>6.5025212096237537</c:v>
                </c:pt>
              </c:numCache>
            </c:numRef>
          </c:val>
          <c:smooth val="0"/>
        </c:ser>
        <c:ser>
          <c:idx val="2"/>
          <c:order val="2"/>
          <c:tx>
            <c:v>S. SALUD</c:v>
          </c:tx>
          <c:spPr>
            <a:ln w="38100">
              <a:solidFill>
                <a:srgbClr val="336666"/>
              </a:solidFill>
              <a:prstDash val="solid"/>
            </a:ln>
          </c:spPr>
          <c:marker>
            <c:symbol val="none"/>
          </c:marker>
          <c:cat>
            <c:numRef>
              <c:f>'33'!$A$11:$A$20</c:f>
              <c:numCache>
                <c:formatCode>General</c:formatCode>
                <c:ptCount val="10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</c:numCache>
            </c:numRef>
          </c:cat>
          <c:val>
            <c:numRef>
              <c:f>'33'!$G$11:$G$20</c:f>
              <c:numCache>
                <c:formatCode>0.0</c:formatCode>
                <c:ptCount val="10"/>
                <c:pt idx="0">
                  <c:v>4.8118842540153359</c:v>
                </c:pt>
                <c:pt idx="1">
                  <c:v>5.4158591796199653</c:v>
                </c:pt>
                <c:pt idx="2">
                  <c:v>5.7816083744037838</c:v>
                </c:pt>
                <c:pt idx="3">
                  <c:v>5.2760217151183291</c:v>
                </c:pt>
                <c:pt idx="4">
                  <c:v>5.5032814717700607</c:v>
                </c:pt>
                <c:pt idx="5">
                  <c:v>5.6093109215460162</c:v>
                </c:pt>
                <c:pt idx="6">
                  <c:v>5.5227971098745954</c:v>
                </c:pt>
                <c:pt idx="7">
                  <c:v>5.5577950968974887</c:v>
                </c:pt>
                <c:pt idx="8">
                  <c:v>5.3885077155310821</c:v>
                </c:pt>
                <c:pt idx="9">
                  <c:v>6.2270046136775097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0766952"/>
        <c:axId val="330767344"/>
      </c:lineChart>
      <c:catAx>
        <c:axId val="3307669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0/00</a:t>
                </a:r>
              </a:p>
            </c:rich>
          </c:tx>
          <c:layout>
            <c:manualLayout>
              <c:xMode val="edge"/>
              <c:yMode val="edge"/>
              <c:x val="9.7919216646266682E-3"/>
              <c:y val="0.1025643717612275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1" i="1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L"/>
          </a:p>
        </c:txPr>
        <c:crossAx val="3307673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30767344"/>
        <c:scaling>
          <c:orientation val="minMax"/>
          <c:max val="6.7"/>
          <c:min val="4.7"/>
        </c:scaling>
        <c:delete val="0"/>
        <c:axPos val="l"/>
        <c:majorGridlines>
          <c:spPr>
            <a:ln w="12700">
              <a:solidFill>
                <a:srgbClr val="FF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175" b="1" i="1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L"/>
          </a:p>
        </c:txPr>
        <c:crossAx val="330766952"/>
        <c:crosses val="autoZero"/>
        <c:crossBetween val="between"/>
        <c:majorUnit val="0.5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3537357401930545"/>
          <c:y val="0.92307934585099938"/>
          <c:w val="0.37209328026162952"/>
          <c:h val="6.9231038427888802E-2"/>
        </c:manualLayout>
      </c:layout>
      <c:overlay val="0"/>
      <c:spPr>
        <a:noFill/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10" b="1" i="1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L"/>
        </a:p>
      </c:txPr>
    </c:legend>
    <c:plotVisOnly val="1"/>
    <c:dispBlanksAs val="gap"/>
    <c:showDLblsOverMax val="0"/>
  </c:chart>
  <c:spPr>
    <a:gradFill rotWithShape="0">
      <a:gsLst>
        <a:gs pos="0">
          <a:srgbClr val="C0C0C0"/>
        </a:gs>
        <a:gs pos="100000">
          <a:srgbClr val="C0C0C0">
            <a:gamma/>
            <a:tint val="0"/>
            <a:invGamma/>
          </a:srgbClr>
        </a:gs>
      </a:gsLst>
      <a:lin ang="5400000" scaled="1"/>
    </a:gra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2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L"/>
    </a:p>
  </c:txPr>
  <c:printSettings>
    <c:headerFooter alignWithMargins="0"/>
    <c:pageMargins b="1" l="0.75000000000001465" r="0.75000000000001465" t="1" header="0" footer="0"/>
    <c:pageSetup paperSize="9" orientation="landscape" horizontalDpi="300" verticalDpi="300"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1199546979915906E-2"/>
          <c:y val="0.21794926369508164"/>
          <c:w val="0.92166517751753363"/>
          <c:h val="0.58461684849972051"/>
        </c:manualLayout>
      </c:layout>
      <c:lineChart>
        <c:grouping val="standard"/>
        <c:varyColors val="0"/>
        <c:ser>
          <c:idx val="0"/>
          <c:order val="0"/>
          <c:tx>
            <c:v>PAIS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'33'!$A$11:$A$20</c:f>
              <c:numCache>
                <c:formatCode>General</c:formatCode>
                <c:ptCount val="10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</c:numCache>
            </c:numRef>
          </c:cat>
          <c:val>
            <c:numRef>
              <c:f>'33'!$C$11:$C$20</c:f>
              <c:numCache>
                <c:formatCode>0.0</c:formatCode>
                <c:ptCount val="10"/>
                <c:pt idx="0">
                  <c:v>5.2929568179753241</c:v>
                </c:pt>
                <c:pt idx="1">
                  <c:v>5.2115072689934694</c:v>
                </c:pt>
                <c:pt idx="2">
                  <c:v>5.60305972849621</c:v>
                </c:pt>
                <c:pt idx="3">
                  <c:v>5.3788386294722992</c:v>
                </c:pt>
                <c:pt idx="4">
                  <c:v>5.432434870295265</c:v>
                </c:pt>
                <c:pt idx="5">
                  <c:v>5.7288202421045176</c:v>
                </c:pt>
                <c:pt idx="6">
                  <c:v>5.5068716319437394</c:v>
                </c:pt>
                <c:pt idx="7">
                  <c:v>5.6721886289601056</c:v>
                </c:pt>
              </c:numCache>
            </c:numRef>
          </c:val>
          <c:smooth val="0"/>
        </c:ser>
        <c:ser>
          <c:idx val="1"/>
          <c:order val="1"/>
          <c:tx>
            <c:v>REGION</c:v>
          </c:tx>
          <c:spPr>
            <a:ln w="38100">
              <a:solidFill>
                <a:srgbClr val="333399"/>
              </a:solidFill>
              <a:prstDash val="solid"/>
            </a:ln>
          </c:spPr>
          <c:marker>
            <c:symbol val="none"/>
          </c:marker>
          <c:cat>
            <c:numRef>
              <c:f>'33'!$A$11:$A$20</c:f>
              <c:numCache>
                <c:formatCode>General</c:formatCode>
                <c:ptCount val="10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</c:numCache>
            </c:numRef>
          </c:cat>
          <c:val>
            <c:numRef>
              <c:f>'33'!$E$11:$E$20</c:f>
              <c:numCache>
                <c:formatCode>0.0</c:formatCode>
                <c:ptCount val="10"/>
                <c:pt idx="0">
                  <c:v>5.9541422787404645</c:v>
                </c:pt>
                <c:pt idx="1">
                  <c:v>6.0332757631517149</c:v>
                </c:pt>
                <c:pt idx="2">
                  <c:v>6.4139451581826288</c:v>
                </c:pt>
                <c:pt idx="3">
                  <c:v>6.154291439903103</c:v>
                </c:pt>
                <c:pt idx="4">
                  <c:v>6.203315638585738</c:v>
                </c:pt>
                <c:pt idx="5">
                  <c:v>6.510467738423924</c:v>
                </c:pt>
                <c:pt idx="6">
                  <c:v>6.2847755517673995</c:v>
                </c:pt>
                <c:pt idx="7">
                  <c:v>6.5025212096237537</c:v>
                </c:pt>
              </c:numCache>
            </c:numRef>
          </c:val>
          <c:smooth val="0"/>
        </c:ser>
        <c:ser>
          <c:idx val="2"/>
          <c:order val="2"/>
          <c:tx>
            <c:v>S. SALUD</c:v>
          </c:tx>
          <c:spPr>
            <a:ln w="38100">
              <a:solidFill>
                <a:srgbClr val="336666"/>
              </a:solidFill>
              <a:prstDash val="solid"/>
            </a:ln>
          </c:spPr>
          <c:marker>
            <c:symbol val="none"/>
          </c:marker>
          <c:cat>
            <c:numRef>
              <c:f>'33'!$A$11:$A$20</c:f>
              <c:numCache>
                <c:formatCode>General</c:formatCode>
                <c:ptCount val="10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</c:numCache>
            </c:numRef>
          </c:cat>
          <c:val>
            <c:numRef>
              <c:f>'33'!$G$11:$G$20</c:f>
              <c:numCache>
                <c:formatCode>0.0</c:formatCode>
                <c:ptCount val="10"/>
                <c:pt idx="0">
                  <c:v>4.8118842540153359</c:v>
                </c:pt>
                <c:pt idx="1">
                  <c:v>5.4158591796199653</c:v>
                </c:pt>
                <c:pt idx="2">
                  <c:v>5.7816083744037838</c:v>
                </c:pt>
                <c:pt idx="3">
                  <c:v>5.2760217151183291</c:v>
                </c:pt>
                <c:pt idx="4">
                  <c:v>5.5032814717700607</c:v>
                </c:pt>
                <c:pt idx="5">
                  <c:v>5.6093109215460162</c:v>
                </c:pt>
                <c:pt idx="6">
                  <c:v>5.5227971098745954</c:v>
                </c:pt>
                <c:pt idx="7">
                  <c:v>5.5577950968974887</c:v>
                </c:pt>
                <c:pt idx="8">
                  <c:v>5.3885077155310821</c:v>
                </c:pt>
                <c:pt idx="9">
                  <c:v>6.2270046136775097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0768128"/>
        <c:axId val="330768520"/>
      </c:lineChart>
      <c:catAx>
        <c:axId val="3307681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0/00</a:t>
                </a:r>
              </a:p>
            </c:rich>
          </c:tx>
          <c:layout>
            <c:manualLayout>
              <c:xMode val="edge"/>
              <c:yMode val="edge"/>
              <c:x val="9.7919216646266682E-3"/>
              <c:y val="0.1025643717612275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1" i="1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L"/>
          </a:p>
        </c:txPr>
        <c:crossAx val="3307685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30768520"/>
        <c:scaling>
          <c:orientation val="minMax"/>
          <c:max val="6.7"/>
          <c:min val="4.7"/>
        </c:scaling>
        <c:delete val="0"/>
        <c:axPos val="l"/>
        <c:majorGridlines>
          <c:spPr>
            <a:ln w="12700">
              <a:solidFill>
                <a:srgbClr val="FF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175" b="1" i="1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L"/>
          </a:p>
        </c:txPr>
        <c:crossAx val="330768128"/>
        <c:crosses val="autoZero"/>
        <c:crossBetween val="between"/>
        <c:majorUnit val="0.5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3537357401930545"/>
          <c:y val="0.92307934585099938"/>
          <c:w val="0.37209328026162952"/>
          <c:h val="6.9231038427888802E-2"/>
        </c:manualLayout>
      </c:layout>
      <c:overlay val="0"/>
      <c:spPr>
        <a:noFill/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10" b="1" i="1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L"/>
        </a:p>
      </c:txPr>
    </c:legend>
    <c:plotVisOnly val="1"/>
    <c:dispBlanksAs val="gap"/>
    <c:showDLblsOverMax val="0"/>
  </c:chart>
  <c:spPr>
    <a:gradFill rotWithShape="0">
      <a:gsLst>
        <a:gs pos="0">
          <a:srgbClr val="C0C0C0"/>
        </a:gs>
        <a:gs pos="100000">
          <a:srgbClr val="C0C0C0">
            <a:gamma/>
            <a:tint val="0"/>
            <a:invGamma/>
          </a:srgbClr>
        </a:gs>
      </a:gsLst>
      <a:lin ang="5400000" scaled="1"/>
    </a:gra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2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L"/>
    </a:p>
  </c:txPr>
  <c:printSettings>
    <c:headerFooter alignWithMargins="0"/>
    <c:pageMargins b="1" l="0.75000000000001465" r="0.75000000000001465" t="1" header="0" footer="0"/>
    <c:pageSetup paperSize="9" orientation="landscape" horizontalDpi="300" verticalDpi="300"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2150" b="1" i="1" strike="noStrike">
                <a:solidFill>
                  <a:srgbClr val="000000"/>
                </a:solidFill>
                <a:latin typeface="Arial Narrow"/>
              </a:rPr>
              <a:t>PRINCIPALES  CAUSAS  DE  MUERTE </a:t>
            </a:r>
          </a:p>
          <a:p>
            <a:pPr>
              <a:defRPr sz="18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2000" b="1" i="1" strike="noStrike">
                <a:solidFill>
                  <a:srgbClr val="000000"/>
                </a:solidFill>
                <a:latin typeface="Arial Narrow"/>
              </a:rPr>
              <a:t>SERVICIO DE  SALUD  ACONCAGUA 1992 - 2014</a:t>
            </a:r>
          </a:p>
        </c:rich>
      </c:tx>
      <c:layout>
        <c:manualLayout>
          <c:xMode val="edge"/>
          <c:yMode val="edge"/>
          <c:x val="0.32017578394808116"/>
          <c:y val="9.9601593625498266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5548272970928787"/>
          <c:y val="0.11752999479620074"/>
          <c:w val="0.6721498425399044"/>
          <c:h val="0.7868533549915134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'35'!$G$65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  <a:effectLst>
              <a:outerShdw dist="35921" dir="2700000" algn="br">
                <a:srgbClr val="000000"/>
              </a:outerShdw>
            </a:effectLst>
          </c:spPr>
          <c:invertIfNegative val="0"/>
          <c:cat>
            <c:numRef>
              <c:f>'35'!$G$65:$H$65</c:f>
              <c:numCache>
                <c:formatCode>General</c:formatCode>
                <c:ptCount val="2"/>
                <c:pt idx="0">
                  <c:v>2014</c:v>
                </c:pt>
                <c:pt idx="1">
                  <c:v>1992</c:v>
                </c:pt>
              </c:numCache>
            </c:numRef>
          </c:cat>
          <c:val>
            <c:numRef>
              <c:f>'35'!$G$66:$G$77</c:f>
              <c:numCache>
                <c:formatCode>General</c:formatCode>
                <c:ptCount val="12"/>
                <c:pt idx="0">
                  <c:v>490</c:v>
                </c:pt>
                <c:pt idx="1">
                  <c:v>404</c:v>
                </c:pt>
                <c:pt idx="2">
                  <c:v>167</c:v>
                </c:pt>
                <c:pt idx="3">
                  <c:v>123</c:v>
                </c:pt>
                <c:pt idx="4">
                  <c:v>109</c:v>
                </c:pt>
                <c:pt idx="5">
                  <c:v>35</c:v>
                </c:pt>
                <c:pt idx="6">
                  <c:v>83</c:v>
                </c:pt>
                <c:pt idx="7">
                  <c:v>74</c:v>
                </c:pt>
                <c:pt idx="8">
                  <c:v>79</c:v>
                </c:pt>
                <c:pt idx="9">
                  <c:v>13</c:v>
                </c:pt>
                <c:pt idx="10">
                  <c:v>19</c:v>
                </c:pt>
                <c:pt idx="11">
                  <c:v>110</c:v>
                </c:pt>
              </c:numCache>
            </c:numRef>
          </c:val>
        </c:ser>
        <c:ser>
          <c:idx val="1"/>
          <c:order val="1"/>
          <c:tx>
            <c:v>1992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  <a:effectLst>
              <a:outerShdw dist="35921" dir="2700000" algn="br">
                <a:srgbClr val="000000"/>
              </a:outerShdw>
            </a:effectLst>
          </c:spPr>
          <c:invertIfNegative val="0"/>
          <c:cat>
            <c:numRef>
              <c:f>'35'!$G$65:$H$65</c:f>
              <c:numCache>
                <c:formatCode>General</c:formatCode>
                <c:ptCount val="2"/>
                <c:pt idx="0">
                  <c:v>2014</c:v>
                </c:pt>
                <c:pt idx="1">
                  <c:v>1992</c:v>
                </c:pt>
              </c:numCache>
            </c:numRef>
          </c:cat>
          <c:val>
            <c:numRef>
              <c:f>'35'!$H$66:$H$77</c:f>
              <c:numCache>
                <c:formatCode>General</c:formatCode>
                <c:ptCount val="12"/>
                <c:pt idx="0">
                  <c:v>294</c:v>
                </c:pt>
                <c:pt idx="1">
                  <c:v>170</c:v>
                </c:pt>
                <c:pt idx="2">
                  <c:v>151</c:v>
                </c:pt>
                <c:pt idx="3">
                  <c:v>100</c:v>
                </c:pt>
                <c:pt idx="4">
                  <c:v>52</c:v>
                </c:pt>
                <c:pt idx="5">
                  <c:v>36</c:v>
                </c:pt>
                <c:pt idx="6">
                  <c:v>59</c:v>
                </c:pt>
                <c:pt idx="7">
                  <c:v>28</c:v>
                </c:pt>
                <c:pt idx="8">
                  <c:v>23</c:v>
                </c:pt>
                <c:pt idx="9">
                  <c:v>28</c:v>
                </c:pt>
                <c:pt idx="10">
                  <c:v>10</c:v>
                </c:pt>
                <c:pt idx="11">
                  <c:v>26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0769304"/>
        <c:axId val="330769696"/>
      </c:barChart>
      <c:catAx>
        <c:axId val="33076930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330769696"/>
        <c:crosses val="autoZero"/>
        <c:auto val="1"/>
        <c:lblAlgn val="ctr"/>
        <c:lblOffset val="100"/>
        <c:noMultiLvlLbl val="0"/>
      </c:catAx>
      <c:valAx>
        <c:axId val="3307696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AP. CIRCULATORIO</a:t>
                </a:r>
              </a:p>
            </c:rich>
          </c:tx>
          <c:layout>
            <c:manualLayout>
              <c:xMode val="edge"/>
              <c:yMode val="edge"/>
              <c:x val="2.6315789473684216E-2"/>
              <c:y val="0.8625506373456306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L"/>
          </a:p>
        </c:txPr>
        <c:crossAx val="33076930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90789565777963765"/>
          <c:y val="0.49203229078437088"/>
          <c:w val="8.7719413362801091E-2"/>
          <c:h val="0.12151415336031172"/>
        </c:manualLayout>
      </c:layout>
      <c:overlay val="0"/>
      <c:spPr>
        <a:gradFill rotWithShape="0">
          <a:gsLst>
            <a:gs pos="0">
              <a:srgbClr val="336666"/>
            </a:gs>
            <a:gs pos="100000">
              <a:srgbClr val="336666">
                <a:gamma/>
                <a:tint val="47451"/>
                <a:invGamma/>
              </a:srgbClr>
            </a:gs>
          </a:gsLst>
          <a:lin ang="5400000" scaled="1"/>
        </a:gradFill>
        <a:ln w="3175">
          <a:solidFill>
            <a:srgbClr val="000000"/>
          </a:solidFill>
          <a:prstDash val="solid"/>
        </a:ln>
        <a:effectLst>
          <a:outerShdw dist="35921" dir="2700000" algn="br">
            <a:srgbClr val="000000"/>
          </a:outerShdw>
        </a:effectLst>
      </c:spPr>
      <c:txPr>
        <a:bodyPr/>
        <a:lstStyle/>
        <a:p>
          <a:pPr>
            <a:defRPr sz="1215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L"/>
        </a:p>
      </c:txPr>
    </c:legend>
    <c:plotVisOnly val="1"/>
    <c:dispBlanksAs val="gap"/>
    <c:showDLblsOverMax val="0"/>
  </c:chart>
  <c:spPr>
    <a:gradFill rotWithShape="0">
      <a:gsLst>
        <a:gs pos="0">
          <a:srgbClr val="336666">
            <a:gamma/>
            <a:tint val="0"/>
            <a:invGamma/>
          </a:srgbClr>
        </a:gs>
        <a:gs pos="50000">
          <a:srgbClr val="336666"/>
        </a:gs>
        <a:gs pos="100000">
          <a:srgbClr val="336666">
            <a:gamma/>
            <a:tint val="0"/>
            <a:invGamma/>
          </a:srgbClr>
        </a:gs>
      </a:gsLst>
      <a:lin ang="2700000" scaled="1"/>
    </a:gradFill>
    <a:ln w="3175">
      <a:solidFill>
        <a:srgbClr val="000000"/>
      </a:solidFill>
      <a:prstDash val="solid"/>
    </a:ln>
  </c:spPr>
  <c:txPr>
    <a:bodyPr/>
    <a:lstStyle/>
    <a:p>
      <a:pPr>
        <a:defRPr sz="1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L"/>
    </a:p>
  </c:txPr>
  <c:printSettings>
    <c:headerFooter alignWithMargins="0"/>
    <c:pageMargins b="1" l="0.75000000000001465" r="0.75000000000001465" t="1" header="0.5" footer="0.5"/>
    <c:pageSetup paperSize="5" orientation="landscape" horizontalDpi="300" verticalDpi="300"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2100" b="1" i="1" strike="noStrike">
                <a:solidFill>
                  <a:srgbClr val="000000"/>
                </a:solidFill>
                <a:latin typeface="Arial Narrow"/>
              </a:rPr>
              <a:t>PRINCIPALES  CAUSAS  DE  MUERTE </a:t>
            </a:r>
          </a:p>
          <a:p>
            <a:pPr>
              <a:defRPr sz="1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950" b="1" i="1" strike="noStrike">
                <a:solidFill>
                  <a:srgbClr val="000000"/>
                </a:solidFill>
                <a:latin typeface="Arial Narrow"/>
              </a:rPr>
              <a:t>PAIS   2003  SERVICIO DE  SALUD  2014</a:t>
            </a:r>
          </a:p>
        </c:rich>
      </c:tx>
      <c:layout>
        <c:manualLayout>
          <c:xMode val="edge"/>
          <c:yMode val="edge"/>
          <c:x val="0.41776361836349402"/>
          <c:y val="9.9601593625498266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6973713093768303"/>
          <c:y val="0.14342643432757538"/>
          <c:w val="0.66008842611583074"/>
          <c:h val="0.78884538880161847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'35'!$J$65</c:f>
              <c:strCache>
                <c:ptCount val="1"/>
                <c:pt idx="0">
                  <c:v>Paìs</c:v>
                </c:pt>
              </c:strCache>
            </c:strRef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  <a:effectLst>
              <a:outerShdw dist="35921" dir="2700000" algn="br">
                <a:srgbClr val="000000"/>
              </a:outerShdw>
            </a:effectLst>
          </c:spPr>
          <c:invertIfNegative val="0"/>
          <c:cat>
            <c:strRef>
              <c:f>'35'!$J$65:$K$65</c:f>
              <c:strCache>
                <c:ptCount val="2"/>
                <c:pt idx="0">
                  <c:v>Paìs</c:v>
                </c:pt>
                <c:pt idx="1">
                  <c:v>SS</c:v>
                </c:pt>
              </c:strCache>
            </c:strRef>
          </c:cat>
          <c:val>
            <c:numRef>
              <c:f>'35'!$J$66:$J$77</c:f>
              <c:numCache>
                <c:formatCode>0.00</c:formatCode>
                <c:ptCount val="12"/>
                <c:pt idx="0">
                  <c:v>28.409742805239507</c:v>
                </c:pt>
                <c:pt idx="1">
                  <c:v>23.544315900181662</c:v>
                </c:pt>
                <c:pt idx="2">
                  <c:v>8.8823023233578748</c:v>
                </c:pt>
                <c:pt idx="3">
                  <c:v>8.8524237498804847</c:v>
                </c:pt>
                <c:pt idx="4">
                  <c:v>7.8891385409694994</c:v>
                </c:pt>
                <c:pt idx="5">
                  <c:v>1.5273926761640693</c:v>
                </c:pt>
                <c:pt idx="6">
                  <c:v>2.845635337986423</c:v>
                </c:pt>
                <c:pt idx="7">
                  <c:v>2.7093890429295344</c:v>
                </c:pt>
                <c:pt idx="8">
                  <c:v>4.9574529113681995</c:v>
                </c:pt>
                <c:pt idx="9">
                  <c:v>0.88201548905249072</c:v>
                </c:pt>
                <c:pt idx="10">
                  <c:v>1.0947509322114923</c:v>
                </c:pt>
                <c:pt idx="11">
                  <c:v>8.4054402906587633</c:v>
                </c:pt>
              </c:numCache>
            </c:numRef>
          </c:val>
        </c:ser>
        <c:ser>
          <c:idx val="1"/>
          <c:order val="1"/>
          <c:tx>
            <c:strRef>
              <c:f>'35'!$K$65</c:f>
              <c:strCache>
                <c:ptCount val="1"/>
                <c:pt idx="0">
                  <c:v>SS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  <a:effectLst>
              <a:outerShdw dist="35921" dir="2700000" algn="br">
                <a:srgbClr val="000000"/>
              </a:outerShdw>
            </a:effectLst>
          </c:spPr>
          <c:invertIfNegative val="0"/>
          <c:cat>
            <c:strRef>
              <c:f>'35'!$J$65:$K$65</c:f>
              <c:strCache>
                <c:ptCount val="2"/>
                <c:pt idx="0">
                  <c:v>Paìs</c:v>
                </c:pt>
                <c:pt idx="1">
                  <c:v>SS</c:v>
                </c:pt>
              </c:strCache>
            </c:strRef>
          </c:cat>
          <c:val>
            <c:numRef>
              <c:f>'35'!$K$66:$K$77</c:f>
              <c:numCache>
                <c:formatCode>0.00</c:formatCode>
                <c:ptCount val="12"/>
                <c:pt idx="0">
                  <c:v>28.722157092614303</c:v>
                </c:pt>
                <c:pt idx="1">
                  <c:v>23.681125439624854</c:v>
                </c:pt>
                <c:pt idx="2">
                  <c:v>9.7889800703399761</c:v>
                </c:pt>
                <c:pt idx="3">
                  <c:v>7.2098475967174682</c:v>
                </c:pt>
                <c:pt idx="4">
                  <c:v>6.3892145369284874</c:v>
                </c:pt>
                <c:pt idx="5">
                  <c:v>2.0515826494724503</c:v>
                </c:pt>
                <c:pt idx="6">
                  <c:v>4.8651817116060956</c:v>
                </c:pt>
                <c:pt idx="7">
                  <c:v>4.3376318874560376</c:v>
                </c:pt>
                <c:pt idx="8">
                  <c:v>4.6307151230949595</c:v>
                </c:pt>
                <c:pt idx="9">
                  <c:v>0.7620164126611958</c:v>
                </c:pt>
                <c:pt idx="10">
                  <c:v>1.1137162954279016</c:v>
                </c:pt>
                <c:pt idx="11">
                  <c:v>6.4478311840562714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1271768"/>
        <c:axId val="331272160"/>
      </c:barChart>
      <c:catAx>
        <c:axId val="331271768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extTo"/>
        <c:crossAx val="331272160"/>
        <c:crosses val="autoZero"/>
        <c:auto val="1"/>
        <c:lblAlgn val="ctr"/>
        <c:lblOffset val="100"/>
        <c:noMultiLvlLbl val="0"/>
      </c:catAx>
      <c:valAx>
        <c:axId val="3312721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AP. CIRCULATORIO</a:t>
                </a:r>
              </a:p>
            </c:rich>
          </c:tx>
          <c:layout>
            <c:manualLayout>
              <c:xMode val="edge"/>
              <c:yMode val="edge"/>
              <c:x val="3.3991228070175482E-2"/>
              <c:y val="0.87848689232571064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L"/>
          </a:p>
        </c:txPr>
        <c:crossAx val="33127176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9133781139199707"/>
          <c:y val="0.49402432265689072"/>
          <c:w val="8.2236957222452278E-2"/>
          <c:h val="0.12151415336031662"/>
        </c:manualLayout>
      </c:layout>
      <c:overlay val="0"/>
      <c:spPr>
        <a:gradFill rotWithShape="0">
          <a:gsLst>
            <a:gs pos="0">
              <a:srgbClr val="336666"/>
            </a:gs>
            <a:gs pos="100000">
              <a:srgbClr val="336666">
                <a:gamma/>
                <a:tint val="44314"/>
                <a:invGamma/>
              </a:srgbClr>
            </a:gs>
          </a:gsLst>
          <a:lin ang="5400000" scaled="1"/>
        </a:gradFill>
        <a:ln w="3175">
          <a:solidFill>
            <a:srgbClr val="000000"/>
          </a:solidFill>
          <a:prstDash val="solid"/>
        </a:ln>
        <a:effectLst>
          <a:outerShdw dist="35921" dir="2700000" algn="br">
            <a:srgbClr val="000000"/>
          </a:outerShdw>
        </a:effectLst>
      </c:spPr>
      <c:txPr>
        <a:bodyPr/>
        <a:lstStyle/>
        <a:p>
          <a:pPr>
            <a:defRPr sz="1215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L"/>
        </a:p>
      </c:txPr>
    </c:legend>
    <c:plotVisOnly val="1"/>
    <c:dispBlanksAs val="gap"/>
    <c:showDLblsOverMax val="0"/>
  </c:chart>
  <c:spPr>
    <a:gradFill rotWithShape="0">
      <a:gsLst>
        <a:gs pos="0">
          <a:srgbClr val="336666">
            <a:gamma/>
            <a:tint val="0"/>
            <a:invGamma/>
          </a:srgbClr>
        </a:gs>
        <a:gs pos="50000">
          <a:srgbClr val="336666"/>
        </a:gs>
        <a:gs pos="100000">
          <a:srgbClr val="336666">
            <a:gamma/>
            <a:tint val="0"/>
            <a:invGamma/>
          </a:srgbClr>
        </a:gs>
      </a:gsLst>
      <a:lin ang="2700000" scaled="1"/>
    </a:gradFill>
    <a:ln w="3175">
      <a:solidFill>
        <a:srgbClr val="000000"/>
      </a:solidFill>
      <a:prstDash val="solid"/>
    </a:ln>
  </c:spPr>
  <c:txPr>
    <a:bodyPr/>
    <a:lstStyle/>
    <a:p>
      <a:pPr>
        <a:defRPr sz="1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L"/>
    </a:p>
  </c:txPr>
  <c:printSettings>
    <c:headerFooter alignWithMargins="0"/>
    <c:pageMargins b="1" l="0.75000000000001465" r="0.75000000000001465" t="1" header="0" footer="0"/>
    <c:pageSetup orientation="landscape" horizontalDpi="300" verticalDpi="300"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75" b="1" i="0" u="none" strike="noStrike" baseline="0">
                <a:solidFill>
                  <a:srgbClr val="FF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INDICADORES CALIFICACIONES N.C.H.S. 
2010 - 2013
</a:t>
            </a:r>
          </a:p>
        </c:rich>
      </c:tx>
      <c:layout>
        <c:manualLayout>
          <c:xMode val="edge"/>
          <c:yMode val="edge"/>
          <c:x val="0.21906715007480779"/>
          <c:y val="5.5363321799309112E-2"/>
        </c:manualLayout>
      </c:layout>
      <c:overlay val="0"/>
      <c:spPr>
        <a:noFill/>
        <a:ln w="25400">
          <a:noFill/>
        </a:ln>
      </c:spPr>
    </c:title>
    <c:autoTitleDeleted val="0"/>
    <c:view3D>
      <c:rotX val="17"/>
      <c:hPercent val="46"/>
      <c:rotY val="12"/>
      <c:depthPercent val="280"/>
      <c:rAngAx val="1"/>
    </c:view3D>
    <c:floor>
      <c:thickness val="0"/>
      <c:spPr>
        <a:noFill/>
        <a:ln w="9525">
          <a:noFill/>
        </a:ln>
      </c:spPr>
    </c:floor>
    <c:sideWall>
      <c:thickness val="0"/>
      <c:spPr>
        <a:noFill/>
        <a:ln w="25400">
          <a:noFill/>
        </a:ln>
      </c:spPr>
    </c:sideWall>
    <c:backWall>
      <c:thickness val="0"/>
      <c:spPr>
        <a:noFill/>
        <a:ln w="25400">
          <a:noFill/>
        </a:ln>
      </c:spPr>
    </c:backWall>
    <c:plotArea>
      <c:layout>
        <c:manualLayout>
          <c:layoutTarget val="inner"/>
          <c:xMode val="edge"/>
          <c:yMode val="edge"/>
          <c:x val="6.4908786397045434E-2"/>
          <c:y val="0.16609024601645231"/>
          <c:w val="0.92495020615790002"/>
          <c:h val="0.60553735526829322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'42'!$B$36</c:f>
              <c:strCache>
                <c:ptCount val="1"/>
                <c:pt idx="0">
                  <c:v>2011</c:v>
                </c:pt>
              </c:strCache>
            </c:strRef>
          </c:tx>
          <c:spPr>
            <a:solidFill>
              <a:srgbClr val="3366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'42'!$A$37:$A$39</c:f>
              <c:strCache>
                <c:ptCount val="3"/>
                <c:pt idx="0">
                  <c:v>PESO/EDAD</c:v>
                </c:pt>
                <c:pt idx="1">
                  <c:v>PESO/TALLA</c:v>
                </c:pt>
                <c:pt idx="2">
                  <c:v>TALLA/EDAD</c:v>
                </c:pt>
              </c:strCache>
            </c:strRef>
          </c:cat>
          <c:val>
            <c:numRef>
              <c:f>('42'!$C$37,'42'!$C$38,'42'!$C$39)</c:f>
              <c:numCache>
                <c:formatCode>0.0</c:formatCode>
                <c:ptCount val="3"/>
                <c:pt idx="0">
                  <c:v>6.2978099130252545</c:v>
                </c:pt>
                <c:pt idx="1">
                  <c:v>31.415697369799854</c:v>
                </c:pt>
                <c:pt idx="2">
                  <c:v>15.021481714345594</c:v>
                </c:pt>
              </c:numCache>
            </c:numRef>
          </c:val>
        </c:ser>
        <c:ser>
          <c:idx val="1"/>
          <c:order val="1"/>
          <c:tx>
            <c:strRef>
              <c:f>'42'!$D$36:$E$36</c:f>
              <c:strCache>
                <c:ptCount val="1"/>
                <c:pt idx="0">
                  <c:v>2012</c:v>
                </c:pt>
              </c:strCache>
            </c:strRef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'42'!$A$37:$A$39</c:f>
              <c:strCache>
                <c:ptCount val="3"/>
                <c:pt idx="0">
                  <c:v>PESO/EDAD</c:v>
                </c:pt>
                <c:pt idx="1">
                  <c:v>PESO/TALLA</c:v>
                </c:pt>
                <c:pt idx="2">
                  <c:v>TALLA/EDAD</c:v>
                </c:pt>
              </c:strCache>
            </c:strRef>
          </c:cat>
          <c:val>
            <c:numRef>
              <c:f>'42'!$E$37:$E$39</c:f>
              <c:numCache>
                <c:formatCode>0.0</c:formatCode>
                <c:ptCount val="3"/>
                <c:pt idx="0">
                  <c:v>6.2807816554572886</c:v>
                </c:pt>
                <c:pt idx="1">
                  <c:v>33.315680771063924</c:v>
                </c:pt>
                <c:pt idx="2">
                  <c:v>14.764603082137373</c:v>
                </c:pt>
              </c:numCache>
            </c:numRef>
          </c:val>
        </c:ser>
        <c:ser>
          <c:idx val="2"/>
          <c:order val="2"/>
          <c:tx>
            <c:strRef>
              <c:f>'42'!$F$36:$G$36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'42'!$A$37:$A$39</c:f>
              <c:strCache>
                <c:ptCount val="3"/>
                <c:pt idx="0">
                  <c:v>PESO/EDAD</c:v>
                </c:pt>
                <c:pt idx="1">
                  <c:v>PESO/TALLA</c:v>
                </c:pt>
                <c:pt idx="2">
                  <c:v>TALLA/EDAD</c:v>
                </c:pt>
              </c:strCache>
            </c:strRef>
          </c:cat>
          <c:val>
            <c:numRef>
              <c:f>'42'!$G$37:$G$39</c:f>
              <c:numCache>
                <c:formatCode>0.0</c:formatCode>
                <c:ptCount val="3"/>
                <c:pt idx="0">
                  <c:v>6.2807816554572886</c:v>
                </c:pt>
                <c:pt idx="1">
                  <c:v>32.9</c:v>
                </c:pt>
                <c:pt idx="2">
                  <c:v>14.9</c:v>
                </c:pt>
              </c:numCache>
            </c:numRef>
          </c:val>
        </c:ser>
        <c:ser>
          <c:idx val="3"/>
          <c:order val="3"/>
          <c:tx>
            <c:strRef>
              <c:f>'42'!$H$36:$I$36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rgbClr val="A0E0E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'42'!$I$37:$I$39</c:f>
              <c:numCache>
                <c:formatCode>0.0</c:formatCode>
                <c:ptCount val="3"/>
                <c:pt idx="0">
                  <c:v>5.9230965113318055</c:v>
                </c:pt>
                <c:pt idx="1">
                  <c:v>31.540616246498598</c:v>
                </c:pt>
                <c:pt idx="2">
                  <c:v>14.188948306595364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gapDepth val="0"/>
        <c:shape val="box"/>
        <c:axId val="331272944"/>
        <c:axId val="331273336"/>
        <c:axId val="0"/>
      </c:bar3DChart>
      <c:catAx>
        <c:axId val="3312729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0/0</a:t>
                </a:r>
              </a:p>
            </c:rich>
          </c:tx>
          <c:layout>
            <c:manualLayout>
              <c:xMode val="edge"/>
              <c:yMode val="edge"/>
              <c:x val="4.8681541582149865E-2"/>
              <c:y val="9.6885813148788927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L"/>
          </a:p>
        </c:txPr>
        <c:crossAx val="3312733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31273336"/>
        <c:scaling>
          <c:orientation val="minMax"/>
        </c:scaling>
        <c:delete val="0"/>
        <c:axPos val="l"/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L"/>
          </a:p>
        </c:txPr>
        <c:crossAx val="33127294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2657243402386127"/>
          <c:y val="0.9238768856315106"/>
          <c:w val="0.36308359021046865"/>
          <c:h val="5.5363321799312123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  <a:effectLst>
          <a:outerShdw dist="35921" dir="2700000" algn="br">
            <a:srgbClr val="000000"/>
          </a:outerShdw>
        </a:effectLst>
      </c:spPr>
      <c:txPr>
        <a:bodyPr/>
        <a:lstStyle/>
        <a:p>
          <a:pPr>
            <a:defRPr sz="69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L"/>
    </a:p>
  </c:txPr>
  <c:printSettings>
    <c:headerFooter alignWithMargins="0"/>
    <c:pageMargins b="1" l="0.75000000000001465" r="0.75000000000001465" t="1" header="0.5" footer="0.5"/>
    <c:pageSetup paperSize="9" orientation="landscape" horizontalDpi="300" verticalDpi="300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75" b="1" i="0" u="none" strike="noStrike" baseline="0">
                <a:solidFill>
                  <a:srgbClr val="FF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INDICADORES CALIFICACIONES N.C.H.S. 
2011 - 2014
</a:t>
            </a:r>
          </a:p>
        </c:rich>
      </c:tx>
      <c:layout>
        <c:manualLayout>
          <c:xMode val="edge"/>
          <c:yMode val="edge"/>
          <c:x val="0.21906715007480779"/>
          <c:y val="5.5363321799309112E-2"/>
        </c:manualLayout>
      </c:layout>
      <c:overlay val="0"/>
      <c:spPr>
        <a:noFill/>
        <a:ln w="25400">
          <a:noFill/>
        </a:ln>
      </c:spPr>
    </c:title>
    <c:autoTitleDeleted val="0"/>
    <c:view3D>
      <c:rotX val="17"/>
      <c:hPercent val="46"/>
      <c:rotY val="12"/>
      <c:depthPercent val="280"/>
      <c:rAngAx val="1"/>
    </c:view3D>
    <c:floor>
      <c:thickness val="0"/>
      <c:spPr>
        <a:noFill/>
        <a:ln w="9525">
          <a:noFill/>
        </a:ln>
      </c:spPr>
    </c:floor>
    <c:sideWall>
      <c:thickness val="0"/>
      <c:spPr>
        <a:noFill/>
        <a:ln w="25400">
          <a:noFill/>
        </a:ln>
      </c:spPr>
    </c:sideWall>
    <c:backWall>
      <c:thickness val="0"/>
      <c:spPr>
        <a:noFill/>
        <a:ln w="25400">
          <a:noFill/>
        </a:ln>
      </c:spPr>
    </c:backWall>
    <c:plotArea>
      <c:layout>
        <c:manualLayout>
          <c:layoutTarget val="inner"/>
          <c:xMode val="edge"/>
          <c:yMode val="edge"/>
          <c:x val="6.4908786397045434E-2"/>
          <c:y val="0.16609024601645231"/>
          <c:w val="0.92495020615790002"/>
          <c:h val="0.60553735526829322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'42'!$B$36</c:f>
              <c:strCache>
                <c:ptCount val="1"/>
                <c:pt idx="0">
                  <c:v>2011</c:v>
                </c:pt>
              </c:strCache>
            </c:strRef>
          </c:tx>
          <c:spPr>
            <a:solidFill>
              <a:srgbClr val="3366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'42'!$A$37:$A$39</c:f>
              <c:strCache>
                <c:ptCount val="3"/>
                <c:pt idx="0">
                  <c:v>PESO/EDAD</c:v>
                </c:pt>
                <c:pt idx="1">
                  <c:v>PESO/TALLA</c:v>
                </c:pt>
                <c:pt idx="2">
                  <c:v>TALLA/EDAD</c:v>
                </c:pt>
              </c:strCache>
            </c:strRef>
          </c:cat>
          <c:val>
            <c:numRef>
              <c:f>('42'!$C$37,'42'!$C$38,'42'!$C$39)</c:f>
              <c:numCache>
                <c:formatCode>0.0</c:formatCode>
                <c:ptCount val="3"/>
                <c:pt idx="0">
                  <c:v>6.2978099130252545</c:v>
                </c:pt>
                <c:pt idx="1">
                  <c:v>31.415697369799854</c:v>
                </c:pt>
                <c:pt idx="2">
                  <c:v>15.021481714345594</c:v>
                </c:pt>
              </c:numCache>
            </c:numRef>
          </c:val>
        </c:ser>
        <c:ser>
          <c:idx val="1"/>
          <c:order val="1"/>
          <c:tx>
            <c:strRef>
              <c:f>'42'!$D$36:$E$36</c:f>
              <c:strCache>
                <c:ptCount val="1"/>
                <c:pt idx="0">
                  <c:v>2012</c:v>
                </c:pt>
              </c:strCache>
            </c:strRef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'42'!$A$37:$A$39</c:f>
              <c:strCache>
                <c:ptCount val="3"/>
                <c:pt idx="0">
                  <c:v>PESO/EDAD</c:v>
                </c:pt>
                <c:pt idx="1">
                  <c:v>PESO/TALLA</c:v>
                </c:pt>
                <c:pt idx="2">
                  <c:v>TALLA/EDAD</c:v>
                </c:pt>
              </c:strCache>
            </c:strRef>
          </c:cat>
          <c:val>
            <c:numRef>
              <c:f>'42'!$E$37:$E$39</c:f>
              <c:numCache>
                <c:formatCode>0.0</c:formatCode>
                <c:ptCount val="3"/>
                <c:pt idx="0">
                  <c:v>6.2807816554572886</c:v>
                </c:pt>
                <c:pt idx="1">
                  <c:v>33.315680771063924</c:v>
                </c:pt>
                <c:pt idx="2">
                  <c:v>14.764603082137373</c:v>
                </c:pt>
              </c:numCache>
            </c:numRef>
          </c:val>
        </c:ser>
        <c:ser>
          <c:idx val="2"/>
          <c:order val="2"/>
          <c:tx>
            <c:strRef>
              <c:f>'42'!$F$36:$G$36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'42'!$A$37:$A$39</c:f>
              <c:strCache>
                <c:ptCount val="3"/>
                <c:pt idx="0">
                  <c:v>PESO/EDAD</c:v>
                </c:pt>
                <c:pt idx="1">
                  <c:v>PESO/TALLA</c:v>
                </c:pt>
                <c:pt idx="2">
                  <c:v>TALLA/EDAD</c:v>
                </c:pt>
              </c:strCache>
            </c:strRef>
          </c:cat>
          <c:val>
            <c:numRef>
              <c:f>'42'!$G$37:$G$39</c:f>
              <c:numCache>
                <c:formatCode>0.0</c:formatCode>
                <c:ptCount val="3"/>
                <c:pt idx="0">
                  <c:v>6.2807816554572886</c:v>
                </c:pt>
                <c:pt idx="1">
                  <c:v>32.9</c:v>
                </c:pt>
                <c:pt idx="2">
                  <c:v>14.9</c:v>
                </c:pt>
              </c:numCache>
            </c:numRef>
          </c:val>
        </c:ser>
        <c:ser>
          <c:idx val="3"/>
          <c:order val="3"/>
          <c:tx>
            <c:strRef>
              <c:f>'42'!$H$36:$I$36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rgbClr val="A0E0E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'42'!$I$37:$I$39</c:f>
              <c:numCache>
                <c:formatCode>0.0</c:formatCode>
                <c:ptCount val="3"/>
                <c:pt idx="0">
                  <c:v>5.9230965113318055</c:v>
                </c:pt>
                <c:pt idx="1">
                  <c:v>31.540616246498598</c:v>
                </c:pt>
                <c:pt idx="2">
                  <c:v>14.188948306595364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gapDepth val="0"/>
        <c:shape val="box"/>
        <c:axId val="331274120"/>
        <c:axId val="331274512"/>
        <c:axId val="0"/>
      </c:bar3DChart>
      <c:catAx>
        <c:axId val="3312741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0/0</a:t>
                </a:r>
              </a:p>
            </c:rich>
          </c:tx>
          <c:layout>
            <c:manualLayout>
              <c:xMode val="edge"/>
              <c:yMode val="edge"/>
              <c:x val="4.8681541582149865E-2"/>
              <c:y val="9.6885813148788927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L"/>
          </a:p>
        </c:txPr>
        <c:crossAx val="3312745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31274512"/>
        <c:scaling>
          <c:orientation val="minMax"/>
        </c:scaling>
        <c:delete val="0"/>
        <c:axPos val="l"/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L"/>
          </a:p>
        </c:txPr>
        <c:crossAx val="33127412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2657243402386127"/>
          <c:y val="0.9238768856315106"/>
          <c:w val="0.36308359021046865"/>
          <c:h val="5.5363321799312123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  <a:effectLst>
          <a:outerShdw dist="35921" dir="2700000" algn="br">
            <a:srgbClr val="000000"/>
          </a:outerShdw>
        </a:effectLst>
      </c:spPr>
      <c:txPr>
        <a:bodyPr/>
        <a:lstStyle/>
        <a:p>
          <a:pPr>
            <a:defRPr sz="69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L"/>
    </a:p>
  </c:txPr>
  <c:printSettings>
    <c:headerFooter alignWithMargins="0"/>
    <c:pageMargins b="1" l="0.75000000000001465" r="0.75000000000001465" t="1" header="0.5" footer="0.5"/>
    <c:pageSetup paperSize="9" orientation="landscape" horizontalDpi="300" verticalDpi="300"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75" b="1" i="0" u="none" strike="noStrike" baseline="0">
                <a:solidFill>
                  <a:srgbClr val="333399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PORCENTAJE  DE  PARTOS SEGÚN  EDAD  DE  LA  MADRE
2008 - 2013</a:t>
            </a:r>
          </a:p>
        </c:rich>
      </c:tx>
      <c:layout>
        <c:manualLayout>
          <c:xMode val="edge"/>
          <c:yMode val="edge"/>
          <c:x val="0.1596638655462273"/>
          <c:y val="3.71747211895910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924369747899636"/>
          <c:y val="0.21189591078066924"/>
          <c:w val="0.75000000000001465"/>
          <c:h val="0.67286245353162222"/>
        </c:manualLayout>
      </c:layout>
      <c:barChart>
        <c:barDir val="col"/>
        <c:grouping val="clustered"/>
        <c:varyColors val="0"/>
        <c:ser>
          <c:idx val="4"/>
          <c:order val="0"/>
          <c:tx>
            <c:v>2008</c:v>
          </c:tx>
          <c:spPr>
            <a:solidFill>
              <a:srgbClr val="FFFF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'45'!$C$82:$J$82</c:f>
              <c:strCache>
                <c:ptCount val="8"/>
                <c:pt idx="0">
                  <c:v>-15</c:v>
                </c:pt>
                <c:pt idx="1">
                  <c:v>15 - 19</c:v>
                </c:pt>
                <c:pt idx="2">
                  <c:v>20 - 24</c:v>
                </c:pt>
                <c:pt idx="3">
                  <c:v>25 - 29</c:v>
                </c:pt>
                <c:pt idx="4">
                  <c:v>30 - 34</c:v>
                </c:pt>
                <c:pt idx="5">
                  <c:v>35 - 39</c:v>
                </c:pt>
                <c:pt idx="6">
                  <c:v>40 - 44</c:v>
                </c:pt>
                <c:pt idx="7">
                  <c:v>45 Y +</c:v>
                </c:pt>
              </c:strCache>
            </c:strRef>
          </c:cat>
          <c:val>
            <c:numRef>
              <c:f>'45'!$C$84:$J$84</c:f>
              <c:numCache>
                <c:formatCode>0.00</c:formatCode>
                <c:ptCount val="8"/>
                <c:pt idx="0">
                  <c:v>0.58370920668612369</c:v>
                </c:pt>
                <c:pt idx="1">
                  <c:v>17.32555054391085</c:v>
                </c:pt>
                <c:pt idx="2">
                  <c:v>26.691430087556384</c:v>
                </c:pt>
                <c:pt idx="3">
                  <c:v>23.4810294507827</c:v>
                </c:pt>
                <c:pt idx="4">
                  <c:v>17.750066330591668</c:v>
                </c:pt>
                <c:pt idx="5">
                  <c:v>10.427169010347573</c:v>
                </c:pt>
                <c:pt idx="6">
                  <c:v>3.5818519501193946</c:v>
                </c:pt>
                <c:pt idx="7">
                  <c:v>0.15919342000530645</c:v>
                </c:pt>
              </c:numCache>
            </c:numRef>
          </c:val>
        </c:ser>
        <c:ser>
          <c:idx val="5"/>
          <c:order val="1"/>
          <c:tx>
            <c:v>2009</c:v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'45'!$C$85:$J$85</c:f>
              <c:numCache>
                <c:formatCode>0.00</c:formatCode>
                <c:ptCount val="8"/>
                <c:pt idx="0">
                  <c:v>0.53633681952266021</c:v>
                </c:pt>
                <c:pt idx="1">
                  <c:v>16.304639313488874</c:v>
                </c:pt>
                <c:pt idx="2">
                  <c:v>25.98551890587289</c:v>
                </c:pt>
                <c:pt idx="3">
                  <c:v>25.046929471708236</c:v>
                </c:pt>
                <c:pt idx="4">
                  <c:v>18.423169750603378</c:v>
                </c:pt>
                <c:pt idx="5">
                  <c:v>10.458567980691875</c:v>
                </c:pt>
                <c:pt idx="6">
                  <c:v>3.110753553231429</c:v>
                </c:pt>
                <c:pt idx="7">
                  <c:v>0.13408420488066505</c:v>
                </c:pt>
              </c:numCache>
            </c:numRef>
          </c:val>
        </c:ser>
        <c:ser>
          <c:idx val="6"/>
          <c:order val="2"/>
          <c:tx>
            <c:v>2010</c:v>
          </c:tx>
          <c:spPr>
            <a:solidFill>
              <a:srgbClr val="008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'45'!$C$86:$J$86</c:f>
              <c:numCache>
                <c:formatCode>0.00</c:formatCode>
                <c:ptCount val="8"/>
                <c:pt idx="0">
                  <c:v>0.35509423654739142</c:v>
                </c:pt>
                <c:pt idx="1">
                  <c:v>17.645452062278068</c:v>
                </c:pt>
                <c:pt idx="2">
                  <c:v>25.184375853591916</c:v>
                </c:pt>
                <c:pt idx="3">
                  <c:v>23.272329964490577</c:v>
                </c:pt>
                <c:pt idx="4">
                  <c:v>18.628789948101613</c:v>
                </c:pt>
                <c:pt idx="5">
                  <c:v>11.745424747336793</c:v>
                </c:pt>
                <c:pt idx="6">
                  <c:v>3.0319584812892653</c:v>
                </c:pt>
                <c:pt idx="7">
                  <c:v>0.13657470636438132</c:v>
                </c:pt>
              </c:numCache>
            </c:numRef>
          </c:val>
        </c:ser>
        <c:ser>
          <c:idx val="0"/>
          <c:order val="3"/>
          <c:tx>
            <c:v>2011</c:v>
          </c:tx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'45'!$C$87:$J$87</c:f>
              <c:numCache>
                <c:formatCode>0.00</c:formatCode>
                <c:ptCount val="8"/>
                <c:pt idx="0">
                  <c:v>0.35509423654739142</c:v>
                </c:pt>
                <c:pt idx="1">
                  <c:v>17.645452062278068</c:v>
                </c:pt>
                <c:pt idx="2">
                  <c:v>25.184375853591916</c:v>
                </c:pt>
                <c:pt idx="3">
                  <c:v>23.272329964490577</c:v>
                </c:pt>
                <c:pt idx="4">
                  <c:v>18.628789948101613</c:v>
                </c:pt>
                <c:pt idx="5">
                  <c:v>11.745424747336793</c:v>
                </c:pt>
                <c:pt idx="6">
                  <c:v>3.0319584812892653</c:v>
                </c:pt>
                <c:pt idx="7">
                  <c:v>0.13657470636438132</c:v>
                </c:pt>
              </c:numCache>
            </c:numRef>
          </c:val>
        </c:ser>
        <c:ser>
          <c:idx val="1"/>
          <c:order val="4"/>
          <c:tx>
            <c:v>2012</c:v>
          </c:tx>
          <c:invertIfNegative val="0"/>
          <c:val>
            <c:numRef>
              <c:f>'45'!$C$98:$J$98</c:f>
              <c:numCache>
                <c:formatCode>0.00</c:formatCode>
                <c:ptCount val="8"/>
                <c:pt idx="0">
                  <c:v>0.91743119266055051</c:v>
                </c:pt>
                <c:pt idx="1">
                  <c:v>7.951070336391437</c:v>
                </c:pt>
                <c:pt idx="2">
                  <c:v>21.712538226299692</c:v>
                </c:pt>
                <c:pt idx="3">
                  <c:v>21.100917431192663</c:v>
                </c:pt>
                <c:pt idx="4">
                  <c:v>20.795107033639145</c:v>
                </c:pt>
                <c:pt idx="5">
                  <c:v>17.431192660550458</c:v>
                </c:pt>
                <c:pt idx="6">
                  <c:v>9.1743119266055047</c:v>
                </c:pt>
                <c:pt idx="7">
                  <c:v>0.91743119266055051</c:v>
                </c:pt>
              </c:numCache>
            </c:numRef>
          </c:val>
        </c:ser>
        <c:ser>
          <c:idx val="2"/>
          <c:order val="5"/>
          <c:tx>
            <c:v>2013</c:v>
          </c:tx>
          <c:invertIfNegative val="0"/>
          <c:val>
            <c:numRef>
              <c:f>'45'!$C$99:$J$99</c:f>
              <c:numCache>
                <c:formatCode>0.00</c:formatCode>
                <c:ptCount val="8"/>
                <c:pt idx="0">
                  <c:v>0.28901734104046239</c:v>
                </c:pt>
                <c:pt idx="1">
                  <c:v>9.2485549132947966</c:v>
                </c:pt>
                <c:pt idx="2">
                  <c:v>20.23121387283237</c:v>
                </c:pt>
                <c:pt idx="3">
                  <c:v>22.254335260115607</c:v>
                </c:pt>
                <c:pt idx="4">
                  <c:v>23.410404624277454</c:v>
                </c:pt>
                <c:pt idx="5">
                  <c:v>14.450867052023122</c:v>
                </c:pt>
                <c:pt idx="6">
                  <c:v>8.6705202312138727</c:v>
                </c:pt>
                <c:pt idx="7">
                  <c:v>1.4450867052023122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0173288"/>
        <c:axId val="330173680"/>
      </c:barChart>
      <c:catAx>
        <c:axId val="3301732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o/o</a:t>
                </a:r>
              </a:p>
            </c:rich>
          </c:tx>
          <c:layout>
            <c:manualLayout>
              <c:xMode val="edge"/>
              <c:yMode val="edge"/>
              <c:x val="4.8319327731092439E-2"/>
              <c:y val="7.8066914498144124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L"/>
          </a:p>
        </c:txPr>
        <c:crossAx val="3301736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301736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L"/>
          </a:p>
        </c:txPr>
        <c:crossAx val="330173288"/>
        <c:crosses val="autoZero"/>
        <c:crossBetween val="between"/>
      </c:valAx>
      <c:spPr>
        <a:gradFill rotWithShape="0">
          <a:gsLst>
            <a:gs pos="0">
              <a:srgbClr val="C0C0C0"/>
            </a:gs>
            <a:gs pos="100000">
              <a:srgbClr val="C0C0C0">
                <a:gamma/>
                <a:tint val="0"/>
                <a:invGamma/>
              </a:srgbClr>
            </a:gs>
          </a:gsLst>
          <a:lin ang="5400000" scaled="1"/>
        </a:gradFill>
        <a:ln w="12700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8235294117647056"/>
          <c:y val="0.25650557620817843"/>
          <c:w val="7.8306755773178138E-2"/>
          <c:h val="0.4020536838099850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8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L"/>
    </a:p>
  </c:txPr>
  <c:printSettings>
    <c:headerFooter alignWithMargins="0"/>
    <c:pageMargins b="1" l="0.75000000000001465" r="0.75000000000001465" t="1" header="0" footer="0"/>
    <c:pageSetup orientation="landscape" horizontalDpi="300" verticalDpi="300"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75" b="1" i="0" u="none" strike="noStrike" baseline="0">
                <a:solidFill>
                  <a:srgbClr val="333399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PORCENTAJE  DE  ABORTOS  SEGÚN  EDAD  DE  LA  MADRE
2008 - 2013</a:t>
            </a:r>
          </a:p>
        </c:rich>
      </c:tx>
      <c:layout>
        <c:manualLayout>
          <c:xMode val="edge"/>
          <c:yMode val="edge"/>
          <c:x val="0.14705882352941191"/>
          <c:y val="3.71747211895910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34453781512605"/>
          <c:y val="0.17843866171003744"/>
          <c:w val="0.75000000000001465"/>
          <c:h val="0.6728624535316222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'45'!$B$94</c:f>
              <c:strCache>
                <c:ptCount val="1"/>
                <c:pt idx="0">
                  <c:v>2009</c:v>
                </c:pt>
              </c:strCache>
            </c:strRef>
          </c:tx>
          <c:spPr>
            <a:solidFill>
              <a:srgbClr val="FFFF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'45'!$C$93:$J$93</c:f>
              <c:strCache>
                <c:ptCount val="8"/>
                <c:pt idx="0">
                  <c:v>-15</c:v>
                </c:pt>
                <c:pt idx="1">
                  <c:v>15 - 19</c:v>
                </c:pt>
                <c:pt idx="2">
                  <c:v>20 - 24</c:v>
                </c:pt>
                <c:pt idx="3">
                  <c:v>25 - 29</c:v>
                </c:pt>
                <c:pt idx="4">
                  <c:v>30 - 34</c:v>
                </c:pt>
                <c:pt idx="5">
                  <c:v>35 - 39</c:v>
                </c:pt>
                <c:pt idx="6">
                  <c:v>40 - 44</c:v>
                </c:pt>
                <c:pt idx="7">
                  <c:v>45 Y +</c:v>
                </c:pt>
              </c:strCache>
            </c:strRef>
          </c:cat>
          <c:val>
            <c:numRef>
              <c:f>'45'!$C$94:$J$94</c:f>
              <c:numCache>
                <c:formatCode>0.00</c:formatCode>
                <c:ptCount val="8"/>
                <c:pt idx="0">
                  <c:v>0.80862533692722371</c:v>
                </c:pt>
                <c:pt idx="1">
                  <c:v>12.668463611859837</c:v>
                </c:pt>
                <c:pt idx="2">
                  <c:v>21.293800539083556</c:v>
                </c:pt>
                <c:pt idx="3">
                  <c:v>21.832884097035041</c:v>
                </c:pt>
                <c:pt idx="4">
                  <c:v>16.711590296495956</c:v>
                </c:pt>
                <c:pt idx="5">
                  <c:v>17.78975741239892</c:v>
                </c:pt>
                <c:pt idx="6">
                  <c:v>8.0862533692722369</c:v>
                </c:pt>
                <c:pt idx="7">
                  <c:v>0.80862533692722371</c:v>
                </c:pt>
              </c:numCache>
            </c:numRef>
          </c:val>
        </c:ser>
        <c:ser>
          <c:idx val="3"/>
          <c:order val="1"/>
          <c:tx>
            <c:strRef>
              <c:f>'45'!$B$95</c:f>
              <c:strCache>
                <c:ptCount val="1"/>
                <c:pt idx="0">
                  <c:v>2010</c:v>
                </c:pt>
              </c:strCache>
            </c:strRef>
          </c:tx>
          <c:spPr>
            <a:solidFill>
              <a:srgbClr val="A0E0E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'45'!$C$93:$J$93</c:f>
              <c:strCache>
                <c:ptCount val="8"/>
                <c:pt idx="0">
                  <c:v>-15</c:v>
                </c:pt>
                <c:pt idx="1">
                  <c:v>15 - 19</c:v>
                </c:pt>
                <c:pt idx="2">
                  <c:v>20 - 24</c:v>
                </c:pt>
                <c:pt idx="3">
                  <c:v>25 - 29</c:v>
                </c:pt>
                <c:pt idx="4">
                  <c:v>30 - 34</c:v>
                </c:pt>
                <c:pt idx="5">
                  <c:v>35 - 39</c:v>
                </c:pt>
                <c:pt idx="6">
                  <c:v>40 - 44</c:v>
                </c:pt>
                <c:pt idx="7">
                  <c:v>45 Y +</c:v>
                </c:pt>
              </c:strCache>
            </c:strRef>
          </c:cat>
          <c:val>
            <c:numRef>
              <c:f>'45'!$C$95:$J$95</c:f>
              <c:numCache>
                <c:formatCode>0.00</c:formatCode>
                <c:ptCount val="8"/>
                <c:pt idx="0">
                  <c:v>0</c:v>
                </c:pt>
                <c:pt idx="1">
                  <c:v>12.5</c:v>
                </c:pt>
                <c:pt idx="2">
                  <c:v>17.1875</c:v>
                </c:pt>
                <c:pt idx="3">
                  <c:v>20.3125</c:v>
                </c:pt>
                <c:pt idx="4">
                  <c:v>19.0625</c:v>
                </c:pt>
                <c:pt idx="5">
                  <c:v>19.6875</c:v>
                </c:pt>
                <c:pt idx="6">
                  <c:v>8.75</c:v>
                </c:pt>
                <c:pt idx="7">
                  <c:v>2.5</c:v>
                </c:pt>
              </c:numCache>
            </c:numRef>
          </c:val>
        </c:ser>
        <c:ser>
          <c:idx val="4"/>
          <c:order val="2"/>
          <c:tx>
            <c:strRef>
              <c:f>'45'!$B$96</c:f>
              <c:strCache>
                <c:ptCount val="1"/>
                <c:pt idx="0">
                  <c:v>2011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'45'!$C$93:$J$93</c:f>
              <c:strCache>
                <c:ptCount val="8"/>
                <c:pt idx="0">
                  <c:v>-15</c:v>
                </c:pt>
                <c:pt idx="1">
                  <c:v>15 - 19</c:v>
                </c:pt>
                <c:pt idx="2">
                  <c:v>20 - 24</c:v>
                </c:pt>
                <c:pt idx="3">
                  <c:v>25 - 29</c:v>
                </c:pt>
                <c:pt idx="4">
                  <c:v>30 - 34</c:v>
                </c:pt>
                <c:pt idx="5">
                  <c:v>35 - 39</c:v>
                </c:pt>
                <c:pt idx="6">
                  <c:v>40 - 44</c:v>
                </c:pt>
                <c:pt idx="7">
                  <c:v>45 Y +</c:v>
                </c:pt>
              </c:strCache>
            </c:strRef>
          </c:cat>
          <c:val>
            <c:numRef>
              <c:f>'45'!$C$96:$J$96</c:f>
              <c:numCache>
                <c:formatCode>0.00</c:formatCode>
                <c:ptCount val="8"/>
                <c:pt idx="0">
                  <c:v>0.84745762711864403</c:v>
                </c:pt>
                <c:pt idx="1">
                  <c:v>15.819209039548024</c:v>
                </c:pt>
                <c:pt idx="2">
                  <c:v>23.728813559322035</c:v>
                </c:pt>
                <c:pt idx="3">
                  <c:v>17.231638418079097</c:v>
                </c:pt>
                <c:pt idx="4">
                  <c:v>16.101694915254235</c:v>
                </c:pt>
                <c:pt idx="5">
                  <c:v>16.949152542372879</c:v>
                </c:pt>
                <c:pt idx="6">
                  <c:v>8.1920903954802249</c:v>
                </c:pt>
                <c:pt idx="7">
                  <c:v>1.1299435028248588</c:v>
                </c:pt>
              </c:numCache>
            </c:numRef>
          </c:val>
        </c:ser>
        <c:ser>
          <c:idx val="5"/>
          <c:order val="3"/>
          <c:tx>
            <c:strRef>
              <c:f>'45'!$B$97</c:f>
              <c:strCache>
                <c:ptCount val="1"/>
                <c:pt idx="0">
                  <c:v>2012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'45'!$C$93:$J$93</c:f>
              <c:strCache>
                <c:ptCount val="8"/>
                <c:pt idx="0">
                  <c:v>-15</c:v>
                </c:pt>
                <c:pt idx="1">
                  <c:v>15 - 19</c:v>
                </c:pt>
                <c:pt idx="2">
                  <c:v>20 - 24</c:v>
                </c:pt>
                <c:pt idx="3">
                  <c:v>25 - 29</c:v>
                </c:pt>
                <c:pt idx="4">
                  <c:v>30 - 34</c:v>
                </c:pt>
                <c:pt idx="5">
                  <c:v>35 - 39</c:v>
                </c:pt>
                <c:pt idx="6">
                  <c:v>40 - 44</c:v>
                </c:pt>
                <c:pt idx="7">
                  <c:v>45 Y +</c:v>
                </c:pt>
              </c:strCache>
            </c:strRef>
          </c:cat>
          <c:val>
            <c:numRef>
              <c:f>'45'!$C$97:$J$97</c:f>
              <c:numCache>
                <c:formatCode>0.00</c:formatCode>
                <c:ptCount val="8"/>
                <c:pt idx="0">
                  <c:v>0.91743119266055051</c:v>
                </c:pt>
                <c:pt idx="1">
                  <c:v>7.951070336391437</c:v>
                </c:pt>
                <c:pt idx="2">
                  <c:v>21.712538226299692</c:v>
                </c:pt>
                <c:pt idx="3">
                  <c:v>21.100917431192663</c:v>
                </c:pt>
                <c:pt idx="4">
                  <c:v>20.795107033639145</c:v>
                </c:pt>
                <c:pt idx="5">
                  <c:v>17.431192660550458</c:v>
                </c:pt>
                <c:pt idx="6">
                  <c:v>9.1743119266055047</c:v>
                </c:pt>
                <c:pt idx="7">
                  <c:v>0.91743119266055051</c:v>
                </c:pt>
              </c:numCache>
            </c:numRef>
          </c:val>
        </c:ser>
        <c:ser>
          <c:idx val="0"/>
          <c:order val="4"/>
          <c:tx>
            <c:strRef>
              <c:f>'45'!$B$98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'45'!$C$98:$J$98</c:f>
              <c:numCache>
                <c:formatCode>0.00</c:formatCode>
                <c:ptCount val="8"/>
                <c:pt idx="0">
                  <c:v>0.91743119266055051</c:v>
                </c:pt>
                <c:pt idx="1">
                  <c:v>7.951070336391437</c:v>
                </c:pt>
                <c:pt idx="2">
                  <c:v>21.712538226299692</c:v>
                </c:pt>
                <c:pt idx="3">
                  <c:v>21.100917431192663</c:v>
                </c:pt>
                <c:pt idx="4">
                  <c:v>20.795107033639145</c:v>
                </c:pt>
                <c:pt idx="5">
                  <c:v>17.431192660550458</c:v>
                </c:pt>
                <c:pt idx="6">
                  <c:v>9.1743119266055047</c:v>
                </c:pt>
                <c:pt idx="7">
                  <c:v>0.91743119266055051</c:v>
                </c:pt>
              </c:numCache>
            </c:numRef>
          </c:val>
        </c:ser>
        <c:ser>
          <c:idx val="1"/>
          <c:order val="5"/>
          <c:tx>
            <c:strRef>
              <c:f>'45'!$B$99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'45'!$C$99:$J$99</c:f>
              <c:numCache>
                <c:formatCode>0.00</c:formatCode>
                <c:ptCount val="8"/>
                <c:pt idx="0">
                  <c:v>0.28901734104046239</c:v>
                </c:pt>
                <c:pt idx="1">
                  <c:v>9.2485549132947966</c:v>
                </c:pt>
                <c:pt idx="2">
                  <c:v>20.23121387283237</c:v>
                </c:pt>
                <c:pt idx="3">
                  <c:v>22.254335260115607</c:v>
                </c:pt>
                <c:pt idx="4">
                  <c:v>23.410404624277454</c:v>
                </c:pt>
                <c:pt idx="5">
                  <c:v>14.450867052023122</c:v>
                </c:pt>
                <c:pt idx="6">
                  <c:v>8.6705202312138727</c:v>
                </c:pt>
                <c:pt idx="7">
                  <c:v>1.4450867052023122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0174464"/>
        <c:axId val="330174856"/>
      </c:barChart>
      <c:catAx>
        <c:axId val="3301744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o/o</a:t>
                </a:r>
              </a:p>
            </c:rich>
          </c:tx>
          <c:layout>
            <c:manualLayout>
              <c:xMode val="edge"/>
              <c:yMode val="edge"/>
              <c:x val="5.2521008403361352E-2"/>
              <c:y val="4.460966542750929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L"/>
          </a:p>
        </c:txPr>
        <c:crossAx val="3301748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3017485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L"/>
          </a:p>
        </c:txPr>
        <c:crossAx val="330174464"/>
        <c:crosses val="autoZero"/>
        <c:crossBetween val="between"/>
      </c:valAx>
      <c:spPr>
        <a:gradFill rotWithShape="0">
          <a:gsLst>
            <a:gs pos="0">
              <a:srgbClr val="C0C0C0"/>
            </a:gs>
            <a:gs pos="100000">
              <a:srgbClr val="C0C0C0">
                <a:gamma/>
                <a:tint val="0"/>
                <a:invGamma/>
              </a:srgbClr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8235294117647056"/>
          <c:y val="0.25650557620817843"/>
          <c:w val="0.10084033613445037"/>
          <c:h val="0.4498141263940689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8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L"/>
    </a:p>
  </c:txPr>
  <c:printSettings>
    <c:headerFooter alignWithMargins="0"/>
    <c:pageMargins b="1" l="0.75000000000001465" r="0.75000000000001465" t="1" header="0" footer="0"/>
    <c:pageSetup paperSize="5" orientation="landscape" horizontalDpi="300" verticalDpi="300"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75" b="1" i="0" u="none" strike="noStrike" baseline="0">
                <a:solidFill>
                  <a:srgbClr val="333399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PORCENTAJE  DE  PARTOS SEGÚN  EDAD  DE  LA  MADRE
2009 - 2014</a:t>
            </a:r>
          </a:p>
        </c:rich>
      </c:tx>
      <c:layout>
        <c:manualLayout>
          <c:xMode val="edge"/>
          <c:yMode val="edge"/>
          <c:x val="0.1596638655462273"/>
          <c:y val="3.71747211895910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924369747899636"/>
          <c:y val="0.21189591078066924"/>
          <c:w val="0.75000000000001465"/>
          <c:h val="0.67286245353162222"/>
        </c:manualLayout>
      </c:layout>
      <c:barChart>
        <c:barDir val="col"/>
        <c:grouping val="clustered"/>
        <c:varyColors val="0"/>
        <c:ser>
          <c:idx val="4"/>
          <c:order val="0"/>
          <c:tx>
            <c:strRef>
              <c:f>'45'!$B$83</c:f>
              <c:strCache>
                <c:ptCount val="1"/>
                <c:pt idx="0">
                  <c:v>2009</c:v>
                </c:pt>
              </c:strCache>
            </c:strRef>
          </c:tx>
          <c:spPr>
            <a:solidFill>
              <a:srgbClr val="FFFF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'45'!$C$82:$J$82</c:f>
              <c:strCache>
                <c:ptCount val="8"/>
                <c:pt idx="0">
                  <c:v>-15</c:v>
                </c:pt>
                <c:pt idx="1">
                  <c:v>15 - 19</c:v>
                </c:pt>
                <c:pt idx="2">
                  <c:v>20 - 24</c:v>
                </c:pt>
                <c:pt idx="3">
                  <c:v>25 - 29</c:v>
                </c:pt>
                <c:pt idx="4">
                  <c:v>30 - 34</c:v>
                </c:pt>
                <c:pt idx="5">
                  <c:v>35 - 39</c:v>
                </c:pt>
                <c:pt idx="6">
                  <c:v>40 - 44</c:v>
                </c:pt>
                <c:pt idx="7">
                  <c:v>45 Y +</c:v>
                </c:pt>
              </c:strCache>
            </c:strRef>
          </c:cat>
          <c:val>
            <c:numRef>
              <c:f>'45'!$C$83:$J$83</c:f>
              <c:numCache>
                <c:formatCode>0.00</c:formatCode>
                <c:ptCount val="8"/>
                <c:pt idx="0">
                  <c:v>0.67892503536067894</c:v>
                </c:pt>
                <c:pt idx="1">
                  <c:v>18.359264497878357</c:v>
                </c:pt>
                <c:pt idx="2">
                  <c:v>26.704384724186703</c:v>
                </c:pt>
                <c:pt idx="3">
                  <c:v>23.81895332390382</c:v>
                </c:pt>
                <c:pt idx="4">
                  <c:v>17.171145685997171</c:v>
                </c:pt>
                <c:pt idx="5">
                  <c:v>10.608203677510609</c:v>
                </c:pt>
                <c:pt idx="6">
                  <c:v>2.5742574257425743</c:v>
                </c:pt>
                <c:pt idx="7">
                  <c:v>8.4865629420084868E-2</c:v>
                </c:pt>
              </c:numCache>
            </c:numRef>
          </c:val>
        </c:ser>
        <c:ser>
          <c:idx val="5"/>
          <c:order val="1"/>
          <c:tx>
            <c:strRef>
              <c:f>'45'!$B$84</c:f>
              <c:strCache>
                <c:ptCount val="1"/>
                <c:pt idx="0">
                  <c:v>2010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'45'!$C$82:$J$82</c:f>
              <c:strCache>
                <c:ptCount val="8"/>
                <c:pt idx="0">
                  <c:v>-15</c:v>
                </c:pt>
                <c:pt idx="1">
                  <c:v>15 - 19</c:v>
                </c:pt>
                <c:pt idx="2">
                  <c:v>20 - 24</c:v>
                </c:pt>
                <c:pt idx="3">
                  <c:v>25 - 29</c:v>
                </c:pt>
                <c:pt idx="4">
                  <c:v>30 - 34</c:v>
                </c:pt>
                <c:pt idx="5">
                  <c:v>35 - 39</c:v>
                </c:pt>
                <c:pt idx="6">
                  <c:v>40 - 44</c:v>
                </c:pt>
                <c:pt idx="7">
                  <c:v>45 Y +</c:v>
                </c:pt>
              </c:strCache>
            </c:strRef>
          </c:cat>
          <c:val>
            <c:numRef>
              <c:f>'45'!$C$84:$J$84</c:f>
              <c:numCache>
                <c:formatCode>0.00</c:formatCode>
                <c:ptCount val="8"/>
                <c:pt idx="0">
                  <c:v>0.58370920668612369</c:v>
                </c:pt>
                <c:pt idx="1">
                  <c:v>17.32555054391085</c:v>
                </c:pt>
                <c:pt idx="2">
                  <c:v>26.691430087556384</c:v>
                </c:pt>
                <c:pt idx="3">
                  <c:v>23.4810294507827</c:v>
                </c:pt>
                <c:pt idx="4">
                  <c:v>17.750066330591668</c:v>
                </c:pt>
                <c:pt idx="5">
                  <c:v>10.427169010347573</c:v>
                </c:pt>
                <c:pt idx="6">
                  <c:v>3.5818519501193946</c:v>
                </c:pt>
                <c:pt idx="7">
                  <c:v>0.15919342000530645</c:v>
                </c:pt>
              </c:numCache>
            </c:numRef>
          </c:val>
        </c:ser>
        <c:ser>
          <c:idx val="6"/>
          <c:order val="2"/>
          <c:tx>
            <c:strRef>
              <c:f>'45'!$B$85</c:f>
              <c:strCache>
                <c:ptCount val="1"/>
                <c:pt idx="0">
                  <c:v>2011</c:v>
                </c:pt>
              </c:strCache>
            </c:strRef>
          </c:tx>
          <c:spPr>
            <a:solidFill>
              <a:srgbClr val="008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'45'!$C$82:$J$82</c:f>
              <c:strCache>
                <c:ptCount val="8"/>
                <c:pt idx="0">
                  <c:v>-15</c:v>
                </c:pt>
                <c:pt idx="1">
                  <c:v>15 - 19</c:v>
                </c:pt>
                <c:pt idx="2">
                  <c:v>20 - 24</c:v>
                </c:pt>
                <c:pt idx="3">
                  <c:v>25 - 29</c:v>
                </c:pt>
                <c:pt idx="4">
                  <c:v>30 - 34</c:v>
                </c:pt>
                <c:pt idx="5">
                  <c:v>35 - 39</c:v>
                </c:pt>
                <c:pt idx="6">
                  <c:v>40 - 44</c:v>
                </c:pt>
                <c:pt idx="7">
                  <c:v>45 Y +</c:v>
                </c:pt>
              </c:strCache>
            </c:strRef>
          </c:cat>
          <c:val>
            <c:numRef>
              <c:f>'45'!$C$85:$J$85</c:f>
              <c:numCache>
                <c:formatCode>0.00</c:formatCode>
                <c:ptCount val="8"/>
                <c:pt idx="0">
                  <c:v>0.53633681952266021</c:v>
                </c:pt>
                <c:pt idx="1">
                  <c:v>16.304639313488874</c:v>
                </c:pt>
                <c:pt idx="2">
                  <c:v>25.98551890587289</c:v>
                </c:pt>
                <c:pt idx="3">
                  <c:v>25.046929471708236</c:v>
                </c:pt>
                <c:pt idx="4">
                  <c:v>18.423169750603378</c:v>
                </c:pt>
                <c:pt idx="5">
                  <c:v>10.458567980691875</c:v>
                </c:pt>
                <c:pt idx="6">
                  <c:v>3.110753553231429</c:v>
                </c:pt>
                <c:pt idx="7">
                  <c:v>0.13408420488066505</c:v>
                </c:pt>
              </c:numCache>
            </c:numRef>
          </c:val>
        </c:ser>
        <c:ser>
          <c:idx val="0"/>
          <c:order val="3"/>
          <c:tx>
            <c:strRef>
              <c:f>'45'!$B$86</c:f>
              <c:strCache>
                <c:ptCount val="1"/>
                <c:pt idx="0">
                  <c:v>2012</c:v>
                </c:pt>
              </c:strCache>
            </c:strRef>
          </c:tx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'45'!$C$82:$J$82</c:f>
              <c:strCache>
                <c:ptCount val="8"/>
                <c:pt idx="0">
                  <c:v>-15</c:v>
                </c:pt>
                <c:pt idx="1">
                  <c:v>15 - 19</c:v>
                </c:pt>
                <c:pt idx="2">
                  <c:v>20 - 24</c:v>
                </c:pt>
                <c:pt idx="3">
                  <c:v>25 - 29</c:v>
                </c:pt>
                <c:pt idx="4">
                  <c:v>30 - 34</c:v>
                </c:pt>
                <c:pt idx="5">
                  <c:v>35 - 39</c:v>
                </c:pt>
                <c:pt idx="6">
                  <c:v>40 - 44</c:v>
                </c:pt>
                <c:pt idx="7">
                  <c:v>45 Y +</c:v>
                </c:pt>
              </c:strCache>
            </c:strRef>
          </c:cat>
          <c:val>
            <c:numRef>
              <c:f>'45'!$C$86:$J$86</c:f>
              <c:numCache>
                <c:formatCode>0.00</c:formatCode>
                <c:ptCount val="8"/>
                <c:pt idx="0">
                  <c:v>0.35509423654739142</c:v>
                </c:pt>
                <c:pt idx="1">
                  <c:v>17.645452062278068</c:v>
                </c:pt>
                <c:pt idx="2">
                  <c:v>25.184375853591916</c:v>
                </c:pt>
                <c:pt idx="3">
                  <c:v>23.272329964490577</c:v>
                </c:pt>
                <c:pt idx="4">
                  <c:v>18.628789948101613</c:v>
                </c:pt>
                <c:pt idx="5">
                  <c:v>11.745424747336793</c:v>
                </c:pt>
                <c:pt idx="6">
                  <c:v>3.0319584812892653</c:v>
                </c:pt>
                <c:pt idx="7">
                  <c:v>0.13657470636438132</c:v>
                </c:pt>
              </c:numCache>
            </c:numRef>
          </c:val>
        </c:ser>
        <c:ser>
          <c:idx val="1"/>
          <c:order val="4"/>
          <c:tx>
            <c:strRef>
              <c:f>'45'!$B$87</c:f>
              <c:strCache>
                <c:ptCount val="1"/>
                <c:pt idx="0">
                  <c:v>2013</c:v>
                </c:pt>
              </c:strCache>
            </c:strRef>
          </c:tx>
          <c:invertIfNegative val="0"/>
          <c:cat>
            <c:strRef>
              <c:f>'45'!$C$82:$J$82</c:f>
              <c:strCache>
                <c:ptCount val="8"/>
                <c:pt idx="0">
                  <c:v>-15</c:v>
                </c:pt>
                <c:pt idx="1">
                  <c:v>15 - 19</c:v>
                </c:pt>
                <c:pt idx="2">
                  <c:v>20 - 24</c:v>
                </c:pt>
                <c:pt idx="3">
                  <c:v>25 - 29</c:v>
                </c:pt>
                <c:pt idx="4">
                  <c:v>30 - 34</c:v>
                </c:pt>
                <c:pt idx="5">
                  <c:v>35 - 39</c:v>
                </c:pt>
                <c:pt idx="6">
                  <c:v>40 - 44</c:v>
                </c:pt>
                <c:pt idx="7">
                  <c:v>45 Y +</c:v>
                </c:pt>
              </c:strCache>
            </c:strRef>
          </c:cat>
          <c:val>
            <c:numRef>
              <c:f>'45'!$C$87:$J$87</c:f>
              <c:numCache>
                <c:formatCode>0.00</c:formatCode>
                <c:ptCount val="8"/>
                <c:pt idx="0">
                  <c:v>0.35509423654739142</c:v>
                </c:pt>
                <c:pt idx="1">
                  <c:v>17.645452062278068</c:v>
                </c:pt>
                <c:pt idx="2">
                  <c:v>25.184375853591916</c:v>
                </c:pt>
                <c:pt idx="3">
                  <c:v>23.272329964490577</c:v>
                </c:pt>
                <c:pt idx="4">
                  <c:v>18.628789948101613</c:v>
                </c:pt>
                <c:pt idx="5">
                  <c:v>11.745424747336793</c:v>
                </c:pt>
                <c:pt idx="6">
                  <c:v>3.0319584812892653</c:v>
                </c:pt>
                <c:pt idx="7">
                  <c:v>0.13657470636438132</c:v>
                </c:pt>
              </c:numCache>
            </c:numRef>
          </c:val>
        </c:ser>
        <c:ser>
          <c:idx val="2"/>
          <c:order val="5"/>
          <c:tx>
            <c:strRef>
              <c:f>'45'!$B$88</c:f>
              <c:strCache>
                <c:ptCount val="1"/>
                <c:pt idx="0">
                  <c:v>2014</c:v>
                </c:pt>
              </c:strCache>
            </c:strRef>
          </c:tx>
          <c:invertIfNegative val="0"/>
          <c:cat>
            <c:strRef>
              <c:f>'45'!$C$82:$J$82</c:f>
              <c:strCache>
                <c:ptCount val="8"/>
                <c:pt idx="0">
                  <c:v>-15</c:v>
                </c:pt>
                <c:pt idx="1">
                  <c:v>15 - 19</c:v>
                </c:pt>
                <c:pt idx="2">
                  <c:v>20 - 24</c:v>
                </c:pt>
                <c:pt idx="3">
                  <c:v>25 - 29</c:v>
                </c:pt>
                <c:pt idx="4">
                  <c:v>30 - 34</c:v>
                </c:pt>
                <c:pt idx="5">
                  <c:v>35 - 39</c:v>
                </c:pt>
                <c:pt idx="6">
                  <c:v>40 - 44</c:v>
                </c:pt>
                <c:pt idx="7">
                  <c:v>45 Y +</c:v>
                </c:pt>
              </c:strCache>
            </c:strRef>
          </c:cat>
          <c:val>
            <c:numRef>
              <c:f>'45'!$C$88:$J$88</c:f>
              <c:numCache>
                <c:formatCode>0.00</c:formatCode>
                <c:ptCount val="8"/>
                <c:pt idx="0">
                  <c:v>0.26371308016877637</c:v>
                </c:pt>
                <c:pt idx="1">
                  <c:v>14.978902953586498</c:v>
                </c:pt>
                <c:pt idx="2">
                  <c:v>26.292194092827003</c:v>
                </c:pt>
                <c:pt idx="3">
                  <c:v>24.894514767932492</c:v>
                </c:pt>
                <c:pt idx="4">
                  <c:v>19.831223628691983</c:v>
                </c:pt>
                <c:pt idx="5">
                  <c:v>10.548523206751055</c:v>
                </c:pt>
                <c:pt idx="6">
                  <c:v>2.9272151898734178</c:v>
                </c:pt>
                <c:pt idx="7">
                  <c:v>0.26371308016877637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0175640"/>
        <c:axId val="330176032"/>
      </c:barChart>
      <c:catAx>
        <c:axId val="3301756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o/o</a:t>
                </a:r>
              </a:p>
            </c:rich>
          </c:tx>
          <c:layout>
            <c:manualLayout>
              <c:xMode val="edge"/>
              <c:yMode val="edge"/>
              <c:x val="4.8319327731092439E-2"/>
              <c:y val="7.8066914498144124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L"/>
          </a:p>
        </c:txPr>
        <c:crossAx val="3301760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301760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L"/>
          </a:p>
        </c:txPr>
        <c:crossAx val="330175640"/>
        <c:crosses val="autoZero"/>
        <c:crossBetween val="between"/>
      </c:valAx>
      <c:spPr>
        <a:gradFill rotWithShape="0">
          <a:gsLst>
            <a:gs pos="0">
              <a:srgbClr val="C0C0C0"/>
            </a:gs>
            <a:gs pos="100000">
              <a:srgbClr val="C0C0C0">
                <a:gamma/>
                <a:tint val="0"/>
                <a:invGamma/>
              </a:srgbClr>
            </a:gs>
          </a:gsLst>
          <a:lin ang="5400000" scaled="1"/>
        </a:gradFill>
        <a:ln w="12700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8235294117647056"/>
          <c:y val="0.25650557620817843"/>
          <c:w val="7.8306755773178138E-2"/>
          <c:h val="0.4020536838099850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8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L"/>
    </a:p>
  </c:txPr>
  <c:printSettings>
    <c:headerFooter alignWithMargins="0"/>
    <c:pageMargins b="1" l="0.75000000000001465" r="0.75000000000001465" t="1" header="0" footer="0"/>
    <c:pageSetup orientation="landscape" horizontalDpi="300" verticalDpi="300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125" b="1" i="0" strike="noStrike">
                <a:solidFill>
                  <a:srgbClr val="000000"/>
                </a:solidFill>
                <a:latin typeface="Arial"/>
                <a:cs typeface="Arial"/>
              </a:rPr>
              <a:t>PIRAMIDE  DE  POBLACION 1990 - 2014</a:t>
            </a:r>
          </a:p>
          <a:p>
            <a:pPr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850" b="1" i="0" strike="noStrike">
                <a:solidFill>
                  <a:srgbClr val="000000"/>
                </a:solidFill>
                <a:latin typeface="Arial"/>
                <a:cs typeface="Arial"/>
              </a:rPr>
              <a:t>SERVICIO  DE  SALUD  ACONCAGUA</a:t>
            </a:r>
          </a:p>
        </c:rich>
      </c:tx>
      <c:layout>
        <c:manualLayout>
          <c:xMode val="edge"/>
          <c:yMode val="edge"/>
          <c:x val="0.19654450321139671"/>
          <c:y val="2.582159624413143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3.2397442373787604E-2"/>
          <c:y val="0.10798134442550666"/>
          <c:w val="0.95896429426413365"/>
          <c:h val="0.84507139115613905"/>
        </c:manualLayout>
      </c:layout>
      <c:barChart>
        <c:barDir val="bar"/>
        <c:grouping val="clustered"/>
        <c:varyColors val="0"/>
        <c:ser>
          <c:idx val="0"/>
          <c:order val="0"/>
          <c:tx>
            <c:v>HOMBRES</c:v>
          </c:tx>
          <c:spPr>
            <a:solidFill>
              <a:srgbClr val="008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'10'!$A$4:$A$41</c:f>
              <c:strCache>
                <c:ptCount val="3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 y +</c:v>
                </c:pt>
                <c:pt idx="21">
                  <c:v>0-4</c:v>
                </c:pt>
                <c:pt idx="22">
                  <c:v>5-9</c:v>
                </c:pt>
                <c:pt idx="23">
                  <c:v>10-14</c:v>
                </c:pt>
                <c:pt idx="24">
                  <c:v>15-19</c:v>
                </c:pt>
                <c:pt idx="25">
                  <c:v>20-24</c:v>
                </c:pt>
                <c:pt idx="26">
                  <c:v>25-29</c:v>
                </c:pt>
                <c:pt idx="27">
                  <c:v>30-34</c:v>
                </c:pt>
                <c:pt idx="28">
                  <c:v>35-39</c:v>
                </c:pt>
                <c:pt idx="29">
                  <c:v>40-44</c:v>
                </c:pt>
                <c:pt idx="30">
                  <c:v>45-49</c:v>
                </c:pt>
                <c:pt idx="31">
                  <c:v>50-54</c:v>
                </c:pt>
                <c:pt idx="32">
                  <c:v>55-59</c:v>
                </c:pt>
                <c:pt idx="33">
                  <c:v>60-64</c:v>
                </c:pt>
                <c:pt idx="34">
                  <c:v>65-69</c:v>
                </c:pt>
                <c:pt idx="35">
                  <c:v>70-74</c:v>
                </c:pt>
                <c:pt idx="36">
                  <c:v>75-79</c:v>
                </c:pt>
                <c:pt idx="37">
                  <c:v>80 y +</c:v>
                </c:pt>
              </c:strCache>
            </c:strRef>
          </c:cat>
          <c:val>
            <c:numRef>
              <c:f>'10'!$B$4:$B$41</c:f>
              <c:numCache>
                <c:formatCode>General</c:formatCode>
                <c:ptCount val="38"/>
                <c:pt idx="0">
                  <c:v>-10691</c:v>
                </c:pt>
                <c:pt idx="1">
                  <c:v>-9882</c:v>
                </c:pt>
                <c:pt idx="2">
                  <c:v>-9065</c:v>
                </c:pt>
                <c:pt idx="3">
                  <c:v>-8589</c:v>
                </c:pt>
                <c:pt idx="4">
                  <c:v>-8182</c:v>
                </c:pt>
                <c:pt idx="5">
                  <c:v>-9329</c:v>
                </c:pt>
                <c:pt idx="6">
                  <c:v>-8085</c:v>
                </c:pt>
                <c:pt idx="7">
                  <c:v>-6485</c:v>
                </c:pt>
                <c:pt idx="8">
                  <c:v>-5697</c:v>
                </c:pt>
                <c:pt idx="9">
                  <c:v>-4926</c:v>
                </c:pt>
                <c:pt idx="10">
                  <c:v>-3596</c:v>
                </c:pt>
                <c:pt idx="11">
                  <c:v>-3190</c:v>
                </c:pt>
                <c:pt idx="12">
                  <c:v>-2747</c:v>
                </c:pt>
                <c:pt idx="13">
                  <c:v>-1966</c:v>
                </c:pt>
                <c:pt idx="14">
                  <c:v>-1668</c:v>
                </c:pt>
                <c:pt idx="15">
                  <c:v>-969</c:v>
                </c:pt>
                <c:pt idx="16">
                  <c:v>-784</c:v>
                </c:pt>
                <c:pt idx="21">
                  <c:v>-10001</c:v>
                </c:pt>
                <c:pt idx="22">
                  <c:v>-10126</c:v>
                </c:pt>
                <c:pt idx="23">
                  <c:v>-10470</c:v>
                </c:pt>
                <c:pt idx="24">
                  <c:v>-11314</c:v>
                </c:pt>
                <c:pt idx="25">
                  <c:v>-11665</c:v>
                </c:pt>
                <c:pt idx="26">
                  <c:v>-11167</c:v>
                </c:pt>
                <c:pt idx="27">
                  <c:v>-10142</c:v>
                </c:pt>
                <c:pt idx="28">
                  <c:v>-8126</c:v>
                </c:pt>
                <c:pt idx="29">
                  <c:v>-8592</c:v>
                </c:pt>
                <c:pt idx="30">
                  <c:v>-8769</c:v>
                </c:pt>
                <c:pt idx="31">
                  <c:v>-8946</c:v>
                </c:pt>
                <c:pt idx="32">
                  <c:v>-7472</c:v>
                </c:pt>
                <c:pt idx="33">
                  <c:v>-6031</c:v>
                </c:pt>
                <c:pt idx="34">
                  <c:v>-5010</c:v>
                </c:pt>
                <c:pt idx="35">
                  <c:v>-3792</c:v>
                </c:pt>
                <c:pt idx="36">
                  <c:v>-2441</c:v>
                </c:pt>
                <c:pt idx="37">
                  <c:v>-2486</c:v>
                </c:pt>
              </c:numCache>
            </c:numRef>
          </c:val>
        </c:ser>
        <c:ser>
          <c:idx val="1"/>
          <c:order val="1"/>
          <c:tx>
            <c:v>MUJERES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'10'!$A$4:$A$41</c:f>
              <c:strCache>
                <c:ptCount val="3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 y +</c:v>
                </c:pt>
                <c:pt idx="21">
                  <c:v>0-4</c:v>
                </c:pt>
                <c:pt idx="22">
                  <c:v>5-9</c:v>
                </c:pt>
                <c:pt idx="23">
                  <c:v>10-14</c:v>
                </c:pt>
                <c:pt idx="24">
                  <c:v>15-19</c:v>
                </c:pt>
                <c:pt idx="25">
                  <c:v>20-24</c:v>
                </c:pt>
                <c:pt idx="26">
                  <c:v>25-29</c:v>
                </c:pt>
                <c:pt idx="27">
                  <c:v>30-34</c:v>
                </c:pt>
                <c:pt idx="28">
                  <c:v>35-39</c:v>
                </c:pt>
                <c:pt idx="29">
                  <c:v>40-44</c:v>
                </c:pt>
                <c:pt idx="30">
                  <c:v>45-49</c:v>
                </c:pt>
                <c:pt idx="31">
                  <c:v>50-54</c:v>
                </c:pt>
                <c:pt idx="32">
                  <c:v>55-59</c:v>
                </c:pt>
                <c:pt idx="33">
                  <c:v>60-64</c:v>
                </c:pt>
                <c:pt idx="34">
                  <c:v>65-69</c:v>
                </c:pt>
                <c:pt idx="35">
                  <c:v>70-74</c:v>
                </c:pt>
                <c:pt idx="36">
                  <c:v>75-79</c:v>
                </c:pt>
                <c:pt idx="37">
                  <c:v>80 y +</c:v>
                </c:pt>
              </c:strCache>
            </c:strRef>
          </c:cat>
          <c:val>
            <c:numRef>
              <c:f>'10'!$C$4:$C$41</c:f>
              <c:numCache>
                <c:formatCode>General</c:formatCode>
                <c:ptCount val="38"/>
                <c:pt idx="0">
                  <c:v>10398</c:v>
                </c:pt>
                <c:pt idx="1">
                  <c:v>9628</c:v>
                </c:pt>
                <c:pt idx="2">
                  <c:v>8566</c:v>
                </c:pt>
                <c:pt idx="3">
                  <c:v>8468</c:v>
                </c:pt>
                <c:pt idx="4">
                  <c:v>8273</c:v>
                </c:pt>
                <c:pt idx="5">
                  <c:v>9153</c:v>
                </c:pt>
                <c:pt idx="6">
                  <c:v>7794</c:v>
                </c:pt>
                <c:pt idx="7">
                  <c:v>6425</c:v>
                </c:pt>
                <c:pt idx="8">
                  <c:v>5440</c:v>
                </c:pt>
                <c:pt idx="9">
                  <c:v>4615</c:v>
                </c:pt>
                <c:pt idx="10">
                  <c:v>3579</c:v>
                </c:pt>
                <c:pt idx="11">
                  <c:v>3395</c:v>
                </c:pt>
                <c:pt idx="12">
                  <c:v>3067</c:v>
                </c:pt>
                <c:pt idx="13">
                  <c:v>2348</c:v>
                </c:pt>
                <c:pt idx="14">
                  <c:v>1893</c:v>
                </c:pt>
                <c:pt idx="15">
                  <c:v>1312</c:v>
                </c:pt>
                <c:pt idx="16">
                  <c:v>1156</c:v>
                </c:pt>
                <c:pt idx="21">
                  <c:v>9579</c:v>
                </c:pt>
                <c:pt idx="22">
                  <c:v>9647</c:v>
                </c:pt>
                <c:pt idx="23">
                  <c:v>9728</c:v>
                </c:pt>
                <c:pt idx="24">
                  <c:v>10272</c:v>
                </c:pt>
                <c:pt idx="25">
                  <c:v>10963</c:v>
                </c:pt>
                <c:pt idx="26">
                  <c:v>10563</c:v>
                </c:pt>
                <c:pt idx="27">
                  <c:v>9557</c:v>
                </c:pt>
                <c:pt idx="28">
                  <c:v>8490</c:v>
                </c:pt>
                <c:pt idx="29">
                  <c:v>9176</c:v>
                </c:pt>
                <c:pt idx="30">
                  <c:v>9387</c:v>
                </c:pt>
                <c:pt idx="31">
                  <c:v>9508</c:v>
                </c:pt>
                <c:pt idx="32">
                  <c:v>7968</c:v>
                </c:pt>
                <c:pt idx="33">
                  <c:v>6465</c:v>
                </c:pt>
                <c:pt idx="34">
                  <c:v>5292</c:v>
                </c:pt>
                <c:pt idx="35">
                  <c:v>4173</c:v>
                </c:pt>
                <c:pt idx="36">
                  <c:v>2955</c:v>
                </c:pt>
                <c:pt idx="37">
                  <c:v>3695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326843752"/>
        <c:axId val="327756312"/>
      </c:barChart>
      <c:catAx>
        <c:axId val="32684375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4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L"/>
          </a:p>
        </c:txPr>
        <c:crossAx val="3277563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27756312"/>
        <c:scaling>
          <c:orientation val="minMax"/>
          <c:max val="12000"/>
          <c:min val="-12000"/>
        </c:scaling>
        <c:delete val="0"/>
        <c:axPos val="b"/>
        <c:numFmt formatCode="General" sourceLinked="1"/>
        <c:majorTickMark val="none"/>
        <c:minorTickMark val="none"/>
        <c:tickLblPos val="none"/>
        <c:spPr>
          <a:ln w="3175">
            <a:solidFill>
              <a:srgbClr val="000000"/>
            </a:solidFill>
            <a:prstDash val="solid"/>
          </a:ln>
        </c:spPr>
        <c:crossAx val="326843752"/>
        <c:crosses val="autoZero"/>
        <c:crossBetween val="between"/>
        <c:majorUnit val="3000"/>
      </c:valAx>
      <c:spPr>
        <a:noFill/>
        <a:ln w="12700">
          <a:solidFill>
            <a:srgbClr val="FFFFFF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35853177100162692"/>
          <c:y val="0.96596355033085668"/>
          <c:w val="0.28293759176431182"/>
          <c:h val="2.582159624413193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L"/>
    </a:p>
  </c:txPr>
  <c:printSettings>
    <c:headerFooter alignWithMargins="0"/>
    <c:pageMargins b="1" l="0.75000000000001465" r="0.75000000000001465" t="1" header="0" footer="0"/>
    <c:pageSetup paperSize="304" orientation="portrait" horizontalDpi="300" verticalDpi="300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75" b="1" i="0" u="none" strike="noStrike" baseline="0">
                <a:solidFill>
                  <a:srgbClr val="333399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PORCENTAJE  DE  ABORTOS  SEGÚN  EDAD  DE  LA  MADRE
2009 - 2014</a:t>
            </a:r>
          </a:p>
        </c:rich>
      </c:tx>
      <c:layout>
        <c:manualLayout>
          <c:xMode val="edge"/>
          <c:yMode val="edge"/>
          <c:x val="0.14705882352941191"/>
          <c:y val="3.71747211895910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34453781512605"/>
          <c:y val="0.17843866171003744"/>
          <c:w val="0.75000000000001465"/>
          <c:h val="0.6728624535316222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'45'!$B$94</c:f>
              <c:strCache>
                <c:ptCount val="1"/>
                <c:pt idx="0">
                  <c:v>2009</c:v>
                </c:pt>
              </c:strCache>
            </c:strRef>
          </c:tx>
          <c:spPr>
            <a:solidFill>
              <a:srgbClr val="FFFF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'45'!$C$93:$J$93</c:f>
              <c:strCache>
                <c:ptCount val="8"/>
                <c:pt idx="0">
                  <c:v>-15</c:v>
                </c:pt>
                <c:pt idx="1">
                  <c:v>15 - 19</c:v>
                </c:pt>
                <c:pt idx="2">
                  <c:v>20 - 24</c:v>
                </c:pt>
                <c:pt idx="3">
                  <c:v>25 - 29</c:v>
                </c:pt>
                <c:pt idx="4">
                  <c:v>30 - 34</c:v>
                </c:pt>
                <c:pt idx="5">
                  <c:v>35 - 39</c:v>
                </c:pt>
                <c:pt idx="6">
                  <c:v>40 - 44</c:v>
                </c:pt>
                <c:pt idx="7">
                  <c:v>45 Y +</c:v>
                </c:pt>
              </c:strCache>
            </c:strRef>
          </c:cat>
          <c:val>
            <c:numRef>
              <c:f>'45'!$C$94:$J$94</c:f>
              <c:numCache>
                <c:formatCode>0.00</c:formatCode>
                <c:ptCount val="8"/>
                <c:pt idx="0">
                  <c:v>0.80862533692722371</c:v>
                </c:pt>
                <c:pt idx="1">
                  <c:v>12.668463611859837</c:v>
                </c:pt>
                <c:pt idx="2">
                  <c:v>21.293800539083556</c:v>
                </c:pt>
                <c:pt idx="3">
                  <c:v>21.832884097035041</c:v>
                </c:pt>
                <c:pt idx="4">
                  <c:v>16.711590296495956</c:v>
                </c:pt>
                <c:pt idx="5">
                  <c:v>17.78975741239892</c:v>
                </c:pt>
                <c:pt idx="6">
                  <c:v>8.0862533692722369</c:v>
                </c:pt>
                <c:pt idx="7">
                  <c:v>0.80862533692722371</c:v>
                </c:pt>
              </c:numCache>
            </c:numRef>
          </c:val>
        </c:ser>
        <c:ser>
          <c:idx val="3"/>
          <c:order val="1"/>
          <c:tx>
            <c:strRef>
              <c:f>'45'!$B$95</c:f>
              <c:strCache>
                <c:ptCount val="1"/>
                <c:pt idx="0">
                  <c:v>2010</c:v>
                </c:pt>
              </c:strCache>
            </c:strRef>
          </c:tx>
          <c:spPr>
            <a:solidFill>
              <a:srgbClr val="A0E0E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'45'!$C$93:$J$93</c:f>
              <c:strCache>
                <c:ptCount val="8"/>
                <c:pt idx="0">
                  <c:v>-15</c:v>
                </c:pt>
                <c:pt idx="1">
                  <c:v>15 - 19</c:v>
                </c:pt>
                <c:pt idx="2">
                  <c:v>20 - 24</c:v>
                </c:pt>
                <c:pt idx="3">
                  <c:v>25 - 29</c:v>
                </c:pt>
                <c:pt idx="4">
                  <c:v>30 - 34</c:v>
                </c:pt>
                <c:pt idx="5">
                  <c:v>35 - 39</c:v>
                </c:pt>
                <c:pt idx="6">
                  <c:v>40 - 44</c:v>
                </c:pt>
                <c:pt idx="7">
                  <c:v>45 Y +</c:v>
                </c:pt>
              </c:strCache>
            </c:strRef>
          </c:cat>
          <c:val>
            <c:numRef>
              <c:f>'45'!$C$95:$J$95</c:f>
              <c:numCache>
                <c:formatCode>0.00</c:formatCode>
                <c:ptCount val="8"/>
                <c:pt idx="0">
                  <c:v>0</c:v>
                </c:pt>
                <c:pt idx="1">
                  <c:v>12.5</c:v>
                </c:pt>
                <c:pt idx="2">
                  <c:v>17.1875</c:v>
                </c:pt>
                <c:pt idx="3">
                  <c:v>20.3125</c:v>
                </c:pt>
                <c:pt idx="4">
                  <c:v>19.0625</c:v>
                </c:pt>
                <c:pt idx="5">
                  <c:v>19.6875</c:v>
                </c:pt>
                <c:pt idx="6">
                  <c:v>8.75</c:v>
                </c:pt>
                <c:pt idx="7">
                  <c:v>2.5</c:v>
                </c:pt>
              </c:numCache>
            </c:numRef>
          </c:val>
        </c:ser>
        <c:ser>
          <c:idx val="4"/>
          <c:order val="2"/>
          <c:tx>
            <c:strRef>
              <c:f>'45'!$B$96</c:f>
              <c:strCache>
                <c:ptCount val="1"/>
                <c:pt idx="0">
                  <c:v>2011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'45'!$C$93:$J$93</c:f>
              <c:strCache>
                <c:ptCount val="8"/>
                <c:pt idx="0">
                  <c:v>-15</c:v>
                </c:pt>
                <c:pt idx="1">
                  <c:v>15 - 19</c:v>
                </c:pt>
                <c:pt idx="2">
                  <c:v>20 - 24</c:v>
                </c:pt>
                <c:pt idx="3">
                  <c:v>25 - 29</c:v>
                </c:pt>
                <c:pt idx="4">
                  <c:v>30 - 34</c:v>
                </c:pt>
                <c:pt idx="5">
                  <c:v>35 - 39</c:v>
                </c:pt>
                <c:pt idx="6">
                  <c:v>40 - 44</c:v>
                </c:pt>
                <c:pt idx="7">
                  <c:v>45 Y +</c:v>
                </c:pt>
              </c:strCache>
            </c:strRef>
          </c:cat>
          <c:val>
            <c:numRef>
              <c:f>'45'!$C$96:$J$96</c:f>
              <c:numCache>
                <c:formatCode>0.00</c:formatCode>
                <c:ptCount val="8"/>
                <c:pt idx="0">
                  <c:v>0.84745762711864403</c:v>
                </c:pt>
                <c:pt idx="1">
                  <c:v>15.819209039548024</c:v>
                </c:pt>
                <c:pt idx="2">
                  <c:v>23.728813559322035</c:v>
                </c:pt>
                <c:pt idx="3">
                  <c:v>17.231638418079097</c:v>
                </c:pt>
                <c:pt idx="4">
                  <c:v>16.101694915254235</c:v>
                </c:pt>
                <c:pt idx="5">
                  <c:v>16.949152542372879</c:v>
                </c:pt>
                <c:pt idx="6">
                  <c:v>8.1920903954802249</c:v>
                </c:pt>
                <c:pt idx="7">
                  <c:v>1.1299435028248588</c:v>
                </c:pt>
              </c:numCache>
            </c:numRef>
          </c:val>
        </c:ser>
        <c:ser>
          <c:idx val="5"/>
          <c:order val="3"/>
          <c:tx>
            <c:strRef>
              <c:f>'45'!$B$97</c:f>
              <c:strCache>
                <c:ptCount val="1"/>
                <c:pt idx="0">
                  <c:v>2012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'45'!$C$93:$J$93</c:f>
              <c:strCache>
                <c:ptCount val="8"/>
                <c:pt idx="0">
                  <c:v>-15</c:v>
                </c:pt>
                <c:pt idx="1">
                  <c:v>15 - 19</c:v>
                </c:pt>
                <c:pt idx="2">
                  <c:v>20 - 24</c:v>
                </c:pt>
                <c:pt idx="3">
                  <c:v>25 - 29</c:v>
                </c:pt>
                <c:pt idx="4">
                  <c:v>30 - 34</c:v>
                </c:pt>
                <c:pt idx="5">
                  <c:v>35 - 39</c:v>
                </c:pt>
                <c:pt idx="6">
                  <c:v>40 - 44</c:v>
                </c:pt>
                <c:pt idx="7">
                  <c:v>45 Y +</c:v>
                </c:pt>
              </c:strCache>
            </c:strRef>
          </c:cat>
          <c:val>
            <c:numRef>
              <c:f>'45'!$C$97:$J$97</c:f>
              <c:numCache>
                <c:formatCode>0.00</c:formatCode>
                <c:ptCount val="8"/>
                <c:pt idx="0">
                  <c:v>0.91743119266055051</c:v>
                </c:pt>
                <c:pt idx="1">
                  <c:v>7.951070336391437</c:v>
                </c:pt>
                <c:pt idx="2">
                  <c:v>21.712538226299692</c:v>
                </c:pt>
                <c:pt idx="3">
                  <c:v>21.100917431192663</c:v>
                </c:pt>
                <c:pt idx="4">
                  <c:v>20.795107033639145</c:v>
                </c:pt>
                <c:pt idx="5">
                  <c:v>17.431192660550458</c:v>
                </c:pt>
                <c:pt idx="6">
                  <c:v>9.1743119266055047</c:v>
                </c:pt>
                <c:pt idx="7">
                  <c:v>0.91743119266055051</c:v>
                </c:pt>
              </c:numCache>
            </c:numRef>
          </c:val>
        </c:ser>
        <c:ser>
          <c:idx val="0"/>
          <c:order val="4"/>
          <c:tx>
            <c:strRef>
              <c:f>'45'!$B$98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'45'!$C$98:$J$98</c:f>
              <c:numCache>
                <c:formatCode>0.00</c:formatCode>
                <c:ptCount val="8"/>
                <c:pt idx="0">
                  <c:v>0.91743119266055051</c:v>
                </c:pt>
                <c:pt idx="1">
                  <c:v>7.951070336391437</c:v>
                </c:pt>
                <c:pt idx="2">
                  <c:v>21.712538226299692</c:v>
                </c:pt>
                <c:pt idx="3">
                  <c:v>21.100917431192663</c:v>
                </c:pt>
                <c:pt idx="4">
                  <c:v>20.795107033639145</c:v>
                </c:pt>
                <c:pt idx="5">
                  <c:v>17.431192660550458</c:v>
                </c:pt>
                <c:pt idx="6">
                  <c:v>9.1743119266055047</c:v>
                </c:pt>
                <c:pt idx="7">
                  <c:v>0.91743119266055051</c:v>
                </c:pt>
              </c:numCache>
            </c:numRef>
          </c:val>
        </c:ser>
        <c:ser>
          <c:idx val="1"/>
          <c:order val="5"/>
          <c:tx>
            <c:strRef>
              <c:f>'45'!$B$99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'45'!$C$99:$J$99</c:f>
              <c:numCache>
                <c:formatCode>0.00</c:formatCode>
                <c:ptCount val="8"/>
                <c:pt idx="0">
                  <c:v>0.28901734104046239</c:v>
                </c:pt>
                <c:pt idx="1">
                  <c:v>9.2485549132947966</c:v>
                </c:pt>
                <c:pt idx="2">
                  <c:v>20.23121387283237</c:v>
                </c:pt>
                <c:pt idx="3">
                  <c:v>22.254335260115607</c:v>
                </c:pt>
                <c:pt idx="4">
                  <c:v>23.410404624277454</c:v>
                </c:pt>
                <c:pt idx="5">
                  <c:v>14.450867052023122</c:v>
                </c:pt>
                <c:pt idx="6">
                  <c:v>8.6705202312138727</c:v>
                </c:pt>
                <c:pt idx="7">
                  <c:v>1.4450867052023122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0176816"/>
        <c:axId val="332119232"/>
      </c:barChart>
      <c:catAx>
        <c:axId val="3301768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o/o</a:t>
                </a:r>
              </a:p>
            </c:rich>
          </c:tx>
          <c:layout>
            <c:manualLayout>
              <c:xMode val="edge"/>
              <c:yMode val="edge"/>
              <c:x val="5.2521008403361352E-2"/>
              <c:y val="4.460966542750929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L"/>
          </a:p>
        </c:txPr>
        <c:crossAx val="3321192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321192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L"/>
          </a:p>
        </c:txPr>
        <c:crossAx val="330176816"/>
        <c:crosses val="autoZero"/>
        <c:crossBetween val="between"/>
      </c:valAx>
      <c:spPr>
        <a:gradFill rotWithShape="0">
          <a:gsLst>
            <a:gs pos="0">
              <a:srgbClr val="C0C0C0"/>
            </a:gs>
            <a:gs pos="100000">
              <a:srgbClr val="C0C0C0">
                <a:gamma/>
                <a:tint val="0"/>
                <a:invGamma/>
              </a:srgbClr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8235294117647056"/>
          <c:y val="0.25650557620817843"/>
          <c:w val="0.10084033613445037"/>
          <c:h val="0.4498141263940689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8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L"/>
    </a:p>
  </c:txPr>
  <c:printSettings>
    <c:headerFooter alignWithMargins="0"/>
    <c:pageMargins b="1" l="0.75000000000001465" r="0.75000000000001465" t="1" header="0" footer="0"/>
    <c:pageSetup paperSize="5" orientation="landscape" horizontalDpi="300" verticalDpi="300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333399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PORCENTAJE  DE CESAREAS DEL  TOTAL  DE  PARTOS 
SERVICIO  DE  SALUD  ACONCAGUA  2009 - 2013  </a:t>
            </a:r>
          </a:p>
        </c:rich>
      </c:tx>
      <c:layout>
        <c:manualLayout>
          <c:xMode val="edge"/>
          <c:yMode val="edge"/>
          <c:x val="0.19874498951230801"/>
          <c:y val="3.654485049833887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7405936811442477E-2"/>
          <c:y val="0.1893690779580402"/>
          <c:w val="0.91422687531349933"/>
          <c:h val="0.64451931796245254"/>
        </c:manualLayout>
      </c:layout>
      <c:lineChart>
        <c:grouping val="standard"/>
        <c:varyColors val="0"/>
        <c:ser>
          <c:idx val="0"/>
          <c:order val="0"/>
          <c:tx>
            <c:v>Total</c:v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numRef>
              <c:f>'47'!$N$20:$R$20</c:f>
              <c:numCache>
                <c:formatCode>General</c:formatCod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numCache>
            </c:numRef>
          </c:cat>
          <c:val>
            <c:numRef>
              <c:f>('47'!$B$14,'47'!$D$14,'47'!$F$14,'47'!$H$14,'47'!$J$14)</c:f>
              <c:numCache>
                <c:formatCode>0.0</c:formatCode>
                <c:ptCount val="5"/>
                <c:pt idx="0">
                  <c:v>48.6</c:v>
                </c:pt>
                <c:pt idx="1">
                  <c:v>50.630195762939124</c:v>
                </c:pt>
                <c:pt idx="2">
                  <c:v>55.331412103746402</c:v>
                </c:pt>
                <c:pt idx="3">
                  <c:v>56.558295964125563</c:v>
                </c:pt>
                <c:pt idx="4">
                  <c:v>57.72679324894515</c:v>
                </c:pt>
              </c:numCache>
            </c:numRef>
          </c:val>
          <c:smooth val="0"/>
        </c:ser>
        <c:ser>
          <c:idx val="1"/>
          <c:order val="1"/>
          <c:tx>
            <c:v>Beneficiarios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'47'!$N$20:$R$20</c:f>
              <c:numCache>
                <c:formatCode>General</c:formatCod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numCache>
            </c:numRef>
          </c:cat>
          <c:val>
            <c:numRef>
              <c:f>('47'!$C$14,'47'!$E$14,'47'!$G$14,'47'!$I$14,'47'!$K$14)</c:f>
              <c:numCache>
                <c:formatCode>0.0</c:formatCode>
                <c:ptCount val="5"/>
                <c:pt idx="0">
                  <c:v>33.397239263803677</c:v>
                </c:pt>
                <c:pt idx="1">
                  <c:v>37.5</c:v>
                </c:pt>
                <c:pt idx="2">
                  <c:v>37.813310285220396</c:v>
                </c:pt>
                <c:pt idx="3">
                  <c:v>38.971648246035564</c:v>
                </c:pt>
                <c:pt idx="4">
                  <c:v>39.066666666666663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2120016"/>
        <c:axId val="332120408"/>
      </c:lineChart>
      <c:catAx>
        <c:axId val="3321200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5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PORCENTAJE</a:t>
                </a:r>
              </a:p>
            </c:rich>
          </c:tx>
          <c:layout>
            <c:manualLayout>
              <c:xMode val="edge"/>
              <c:yMode val="edge"/>
              <c:x val="1.8828451882845303E-2"/>
              <c:y val="8.970099667774086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L"/>
          </a:p>
        </c:txPr>
        <c:crossAx val="3321204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32120408"/>
        <c:scaling>
          <c:orientation val="minMax"/>
          <c:max val="58"/>
          <c:min val="3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L"/>
          </a:p>
        </c:txPr>
        <c:crossAx val="332120016"/>
        <c:crosses val="autoZero"/>
        <c:crossBetween val="between"/>
        <c:majorUnit val="5"/>
      </c:valAx>
      <c:spPr>
        <a:gradFill rotWithShape="0">
          <a:gsLst>
            <a:gs pos="0">
              <a:srgbClr val="C0C0C0"/>
            </a:gs>
            <a:gs pos="100000">
              <a:srgbClr val="C0C0C0">
                <a:gamma/>
                <a:tint val="0"/>
                <a:invGamma/>
              </a:srgbClr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0753160039096628"/>
          <c:y val="0.91694491676915113"/>
          <c:w val="0.46861968613756338"/>
          <c:h val="7.3089700996675444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75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L"/>
    </a:p>
  </c:txPr>
  <c:printSettings>
    <c:headerFooter alignWithMargins="0"/>
    <c:pageMargins b="1" l="0.75000000000001465" r="0.75000000000001465" t="1" header="0" footer="0"/>
    <c:pageSetup orientation="landscape" horizontalDpi="300" verticalDpi="300"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333399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PORCENTAJE  DE CESAREAS DEL  TOTAL  DE  PARTOS 
SERVICIO  DE  SALUD  ACONCAGUA  2010 - 2014  </a:t>
            </a:r>
          </a:p>
        </c:rich>
      </c:tx>
      <c:layout>
        <c:manualLayout>
          <c:xMode val="edge"/>
          <c:yMode val="edge"/>
          <c:x val="0.19874498951230801"/>
          <c:y val="3.654485049833887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7405936811442477E-2"/>
          <c:y val="0.1893690779580402"/>
          <c:w val="0.91422687531349933"/>
          <c:h val="0.64451931796245254"/>
        </c:manualLayout>
      </c:layout>
      <c:lineChart>
        <c:grouping val="standard"/>
        <c:varyColors val="0"/>
        <c:ser>
          <c:idx val="0"/>
          <c:order val="0"/>
          <c:tx>
            <c:v>Total</c:v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numRef>
              <c:f>'47'!$N$20:$R$20</c:f>
              <c:numCache>
                <c:formatCode>General</c:formatCod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numCache>
            </c:numRef>
          </c:cat>
          <c:val>
            <c:numRef>
              <c:f>('47'!$B$14,'47'!$D$14,'47'!$F$14,'47'!$H$14,'47'!$J$14)</c:f>
              <c:numCache>
                <c:formatCode>0.0</c:formatCode>
                <c:ptCount val="5"/>
                <c:pt idx="0">
                  <c:v>48.6</c:v>
                </c:pt>
                <c:pt idx="1">
                  <c:v>50.630195762939124</c:v>
                </c:pt>
                <c:pt idx="2">
                  <c:v>55.331412103746402</c:v>
                </c:pt>
                <c:pt idx="3">
                  <c:v>56.558295964125563</c:v>
                </c:pt>
                <c:pt idx="4">
                  <c:v>57.72679324894515</c:v>
                </c:pt>
              </c:numCache>
            </c:numRef>
          </c:val>
          <c:smooth val="0"/>
        </c:ser>
        <c:ser>
          <c:idx val="1"/>
          <c:order val="1"/>
          <c:tx>
            <c:v>Beneficiarios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'47'!$N$20:$R$20</c:f>
              <c:numCache>
                <c:formatCode>General</c:formatCod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numCache>
            </c:numRef>
          </c:cat>
          <c:val>
            <c:numRef>
              <c:f>('47'!$C$14,'47'!$E$14,'47'!$G$14,'47'!$I$14,'47'!$K$14)</c:f>
              <c:numCache>
                <c:formatCode>0.0</c:formatCode>
                <c:ptCount val="5"/>
                <c:pt idx="0">
                  <c:v>33.397239263803677</c:v>
                </c:pt>
                <c:pt idx="1">
                  <c:v>37.5</c:v>
                </c:pt>
                <c:pt idx="2">
                  <c:v>37.813310285220396</c:v>
                </c:pt>
                <c:pt idx="3">
                  <c:v>38.971648246035564</c:v>
                </c:pt>
                <c:pt idx="4">
                  <c:v>39.066666666666663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2121192"/>
        <c:axId val="332121584"/>
      </c:lineChart>
      <c:catAx>
        <c:axId val="3321211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5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PORCENTAJE</a:t>
                </a:r>
              </a:p>
            </c:rich>
          </c:tx>
          <c:layout>
            <c:manualLayout>
              <c:xMode val="edge"/>
              <c:yMode val="edge"/>
              <c:x val="1.8828451882845303E-2"/>
              <c:y val="8.970099667774086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L"/>
          </a:p>
        </c:txPr>
        <c:crossAx val="3321215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32121584"/>
        <c:scaling>
          <c:orientation val="minMax"/>
          <c:max val="60"/>
          <c:min val="3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L"/>
          </a:p>
        </c:txPr>
        <c:crossAx val="332121192"/>
        <c:crosses val="autoZero"/>
        <c:crossBetween val="between"/>
        <c:majorUnit val="5"/>
      </c:valAx>
      <c:spPr>
        <a:gradFill rotWithShape="0">
          <a:gsLst>
            <a:gs pos="0">
              <a:srgbClr val="C0C0C0"/>
            </a:gs>
            <a:gs pos="100000">
              <a:srgbClr val="C0C0C0">
                <a:gamma/>
                <a:tint val="0"/>
                <a:invGamma/>
              </a:srgbClr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0753160039096628"/>
          <c:y val="0.91694491676915113"/>
          <c:w val="0.46861968613756338"/>
          <c:h val="7.3089700996675444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75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L"/>
    </a:p>
  </c:txPr>
  <c:printSettings>
    <c:headerFooter alignWithMargins="0"/>
    <c:pageMargins b="1" l="0.75000000000001465" r="0.75000000000001465" t="1" header="0" footer="0"/>
    <c:pageSetup orientation="landscape" horizontalDpi="300" verticalDpi="300"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8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Perfil  de  Esterilización  Femenina y Masculina
Servicio de  Salud  Aconcagua  2008 -  2013</a:t>
            </a:r>
          </a:p>
        </c:rich>
      </c:tx>
      <c:layout>
        <c:manualLayout>
          <c:xMode val="edge"/>
          <c:yMode val="edge"/>
          <c:x val="0.26098549265895732"/>
          <c:y val="3.470031545741539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3914821848750122E-2"/>
          <c:y val="0.27760252365930632"/>
          <c:w val="0.90146529982501566"/>
          <c:h val="0.56466876971608837"/>
        </c:manualLayout>
      </c:layout>
      <c:lineChart>
        <c:grouping val="standard"/>
        <c:varyColors val="0"/>
        <c:ser>
          <c:idx val="1"/>
          <c:order val="0"/>
          <c:tx>
            <c:v>Femenina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square"/>
            <c:size val="8"/>
            <c:spPr>
              <a:noFill/>
              <a:ln w="9525">
                <a:noFill/>
              </a:ln>
            </c:spPr>
          </c:marker>
          <c:cat>
            <c:numRef>
              <c:f>'49'!$T$8:$Y$8</c:f>
              <c:numCache>
                <c:formatCode>General</c:formatCode>
                <c:ptCount val="6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</c:numCache>
            </c:numRef>
          </c:cat>
          <c:val>
            <c:numRef>
              <c:f>'49'!$T$12:$Y$12</c:f>
              <c:numCache>
                <c:formatCode>General</c:formatCode>
                <c:ptCount val="6"/>
                <c:pt idx="0">
                  <c:v>545</c:v>
                </c:pt>
                <c:pt idx="1">
                  <c:v>515</c:v>
                </c:pt>
                <c:pt idx="2">
                  <c:v>490</c:v>
                </c:pt>
                <c:pt idx="3">
                  <c:v>603</c:v>
                </c:pt>
                <c:pt idx="4">
                  <c:v>532</c:v>
                </c:pt>
                <c:pt idx="5">
                  <c:v>593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2122368"/>
        <c:axId val="332122760"/>
      </c:lineChart>
      <c:lineChart>
        <c:grouping val="standard"/>
        <c:varyColors val="0"/>
        <c:ser>
          <c:idx val="0"/>
          <c:order val="1"/>
          <c:tx>
            <c:v>Masculina</c:v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numRef>
              <c:f>'49'!$T$13:$Y$13</c:f>
              <c:numCache>
                <c:formatCode>General</c:formatCode>
                <c:ptCount val="6"/>
                <c:pt idx="0">
                  <c:v>7</c:v>
                </c:pt>
                <c:pt idx="1">
                  <c:v>2</c:v>
                </c:pt>
                <c:pt idx="2">
                  <c:v>5</c:v>
                </c:pt>
                <c:pt idx="3">
                  <c:v>4</c:v>
                </c:pt>
                <c:pt idx="4">
                  <c:v>2</c:v>
                </c:pt>
                <c:pt idx="5">
                  <c:v>5</c:v>
                </c:pt>
              </c:numCache>
            </c:numRef>
          </c:cat>
          <c:val>
            <c:numRef>
              <c:f>'49'!$T$13:$Y$13</c:f>
              <c:numCache>
                <c:formatCode>General</c:formatCode>
                <c:ptCount val="6"/>
                <c:pt idx="0">
                  <c:v>7</c:v>
                </c:pt>
                <c:pt idx="1">
                  <c:v>2</c:v>
                </c:pt>
                <c:pt idx="2">
                  <c:v>5</c:v>
                </c:pt>
                <c:pt idx="3">
                  <c:v>4</c:v>
                </c:pt>
                <c:pt idx="4">
                  <c:v>2</c:v>
                </c:pt>
                <c:pt idx="5">
                  <c:v>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2127424"/>
        <c:axId val="332127816"/>
      </c:lineChart>
      <c:catAx>
        <c:axId val="3321223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Femenina</a:t>
                </a:r>
              </a:p>
            </c:rich>
          </c:tx>
          <c:layout>
            <c:manualLayout>
              <c:xMode val="edge"/>
              <c:yMode val="edge"/>
              <c:x val="7.9893475366178534E-3"/>
              <c:y val="0.1356466876971675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1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L"/>
          </a:p>
        </c:txPr>
        <c:crossAx val="33212276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32122760"/>
        <c:scaling>
          <c:orientation val="minMax"/>
          <c:max val="700"/>
          <c:min val="400"/>
        </c:scaling>
        <c:delete val="0"/>
        <c:axPos val="l"/>
        <c:minorGridlines>
          <c:spPr>
            <a:ln w="3175">
              <a:solidFill>
                <a:srgbClr val="000000"/>
              </a:solidFill>
              <a:prstDash val="solid"/>
            </a:ln>
          </c:spPr>
        </c:minorGridlines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1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L"/>
          </a:p>
        </c:txPr>
        <c:crossAx val="332122368"/>
        <c:crosses val="autoZero"/>
        <c:crossBetween val="between"/>
        <c:majorUnit val="100"/>
        <c:minorUnit val="100"/>
      </c:valAx>
      <c:catAx>
        <c:axId val="332127424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Masculina</a:t>
                </a:r>
              </a:p>
            </c:rich>
          </c:tx>
          <c:layout>
            <c:manualLayout>
              <c:xMode val="edge"/>
              <c:yMode val="edge"/>
              <c:x val="0.90279683082224549"/>
              <c:y val="0.1451104100946372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332127816"/>
        <c:crosses val="autoZero"/>
        <c:auto val="0"/>
        <c:lblAlgn val="ctr"/>
        <c:lblOffset val="100"/>
        <c:noMultiLvlLbl val="0"/>
      </c:catAx>
      <c:valAx>
        <c:axId val="332127816"/>
        <c:scaling>
          <c:orientation val="minMax"/>
          <c:max val="10"/>
          <c:min val="0"/>
        </c:scaling>
        <c:delete val="0"/>
        <c:axPos val="r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L"/>
          </a:p>
        </c:txPr>
        <c:crossAx val="332127424"/>
        <c:crosses val="max"/>
        <c:crossBetween val="between"/>
        <c:majorUnit val="2"/>
        <c:minorUnit val="2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4633835550850094"/>
          <c:y val="0.88958990536277549"/>
          <c:w val="0.52063942739516422"/>
          <c:h val="0.10094637223974801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L"/>
    </a:p>
  </c:txPr>
  <c:printSettings>
    <c:headerFooter alignWithMargins="0"/>
    <c:pageMargins b="1" l="0.75000000000001465" r="0.75000000000001465" t="1" header="0" footer="0"/>
    <c:pageSetup paperSize="9" orientation="landscape" horizontalDpi="300" verticalDpi="300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8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Perfil  de  Esterilización  Femenina y Masculina
Servicio de  Salud  Aconcagua  2009 -  2014</a:t>
            </a:r>
          </a:p>
        </c:rich>
      </c:tx>
      <c:layout>
        <c:manualLayout>
          <c:xMode val="edge"/>
          <c:yMode val="edge"/>
          <c:x val="0.26098549265895732"/>
          <c:y val="3.470031545741539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3914821848750122E-2"/>
          <c:y val="0.27760252365930632"/>
          <c:w val="0.90146529982501566"/>
          <c:h val="0.56466876971608837"/>
        </c:manualLayout>
      </c:layout>
      <c:lineChart>
        <c:grouping val="standard"/>
        <c:varyColors val="0"/>
        <c:ser>
          <c:idx val="1"/>
          <c:order val="0"/>
          <c:tx>
            <c:v>Femenina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square"/>
            <c:size val="8"/>
            <c:spPr>
              <a:noFill/>
              <a:ln w="9525">
                <a:noFill/>
              </a:ln>
            </c:spPr>
          </c:marker>
          <c:cat>
            <c:numRef>
              <c:f>'49'!$T$8:$Y$8</c:f>
              <c:numCache>
                <c:formatCode>General</c:formatCode>
                <c:ptCount val="6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</c:numCache>
            </c:numRef>
          </c:cat>
          <c:val>
            <c:numRef>
              <c:f>'49'!$T$12:$Y$12</c:f>
              <c:numCache>
                <c:formatCode>General</c:formatCode>
                <c:ptCount val="6"/>
                <c:pt idx="0">
                  <c:v>545</c:v>
                </c:pt>
                <c:pt idx="1">
                  <c:v>515</c:v>
                </c:pt>
                <c:pt idx="2">
                  <c:v>490</c:v>
                </c:pt>
                <c:pt idx="3">
                  <c:v>603</c:v>
                </c:pt>
                <c:pt idx="4">
                  <c:v>532</c:v>
                </c:pt>
                <c:pt idx="5">
                  <c:v>593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2128600"/>
        <c:axId val="332128992"/>
      </c:lineChart>
      <c:lineChart>
        <c:grouping val="standard"/>
        <c:varyColors val="0"/>
        <c:ser>
          <c:idx val="0"/>
          <c:order val="1"/>
          <c:tx>
            <c:v>Masculina</c:v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numRef>
              <c:f>'49'!$T$13:$Y$13</c:f>
              <c:numCache>
                <c:formatCode>General</c:formatCode>
                <c:ptCount val="6"/>
                <c:pt idx="0">
                  <c:v>7</c:v>
                </c:pt>
                <c:pt idx="1">
                  <c:v>2</c:v>
                </c:pt>
                <c:pt idx="2">
                  <c:v>5</c:v>
                </c:pt>
                <c:pt idx="3">
                  <c:v>4</c:v>
                </c:pt>
                <c:pt idx="4">
                  <c:v>2</c:v>
                </c:pt>
                <c:pt idx="5">
                  <c:v>5</c:v>
                </c:pt>
              </c:numCache>
            </c:numRef>
          </c:cat>
          <c:val>
            <c:numRef>
              <c:f>'49'!$T$13:$Y$13</c:f>
              <c:numCache>
                <c:formatCode>General</c:formatCode>
                <c:ptCount val="6"/>
                <c:pt idx="0">
                  <c:v>7</c:v>
                </c:pt>
                <c:pt idx="1">
                  <c:v>2</c:v>
                </c:pt>
                <c:pt idx="2">
                  <c:v>5</c:v>
                </c:pt>
                <c:pt idx="3">
                  <c:v>4</c:v>
                </c:pt>
                <c:pt idx="4">
                  <c:v>2</c:v>
                </c:pt>
                <c:pt idx="5">
                  <c:v>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2129384"/>
        <c:axId val="332129776"/>
      </c:lineChart>
      <c:catAx>
        <c:axId val="3321286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Femenina</a:t>
                </a:r>
              </a:p>
            </c:rich>
          </c:tx>
          <c:layout>
            <c:manualLayout>
              <c:xMode val="edge"/>
              <c:yMode val="edge"/>
              <c:x val="7.9893475366178534E-3"/>
              <c:y val="0.1356466876971675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1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L"/>
          </a:p>
        </c:txPr>
        <c:crossAx val="33212899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32128992"/>
        <c:scaling>
          <c:orientation val="minMax"/>
          <c:max val="700"/>
          <c:min val="400"/>
        </c:scaling>
        <c:delete val="0"/>
        <c:axPos val="l"/>
        <c:minorGridlines>
          <c:spPr>
            <a:ln w="3175">
              <a:solidFill>
                <a:srgbClr val="000000"/>
              </a:solidFill>
              <a:prstDash val="solid"/>
            </a:ln>
          </c:spPr>
        </c:minorGridlines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1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L"/>
          </a:p>
        </c:txPr>
        <c:crossAx val="332128600"/>
        <c:crosses val="autoZero"/>
        <c:crossBetween val="between"/>
        <c:majorUnit val="100"/>
        <c:minorUnit val="100"/>
      </c:valAx>
      <c:catAx>
        <c:axId val="332129384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Masculina</a:t>
                </a:r>
              </a:p>
            </c:rich>
          </c:tx>
          <c:layout>
            <c:manualLayout>
              <c:xMode val="edge"/>
              <c:yMode val="edge"/>
              <c:x val="0.90279683082224549"/>
              <c:y val="0.1451104100946372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332129776"/>
        <c:crosses val="autoZero"/>
        <c:auto val="0"/>
        <c:lblAlgn val="ctr"/>
        <c:lblOffset val="100"/>
        <c:noMultiLvlLbl val="0"/>
      </c:catAx>
      <c:valAx>
        <c:axId val="332129776"/>
        <c:scaling>
          <c:orientation val="minMax"/>
          <c:max val="10"/>
          <c:min val="0"/>
        </c:scaling>
        <c:delete val="0"/>
        <c:axPos val="r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L"/>
          </a:p>
        </c:txPr>
        <c:crossAx val="332129384"/>
        <c:crosses val="max"/>
        <c:crossBetween val="between"/>
        <c:majorUnit val="2"/>
        <c:minorUnit val="2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4633835550850094"/>
          <c:y val="0.88958990536277549"/>
          <c:w val="0.52063942739516422"/>
          <c:h val="0.10094637223974801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L"/>
    </a:p>
  </c:txPr>
  <c:printSettings>
    <c:headerFooter alignWithMargins="0"/>
    <c:pageMargins b="1" l="0.75000000000001465" r="0.75000000000001465" t="1" header="0" footer="0"/>
    <c:pageSetup paperSize="9" orientation="landscape" horizontalDpi="300" verticalDpi="300"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 sz="1000"/>
              <a:t>RESOLUTIVIDAD ATENCION  MEDICA  Y  ODONTOLOGICA</a:t>
            </a:r>
          </a:p>
          <a:p>
            <a:pPr>
              <a:defRPr/>
            </a:pPr>
            <a:r>
              <a:rPr lang="es-ES" sz="1000"/>
              <a:t>EN  ATENCION  PRIMARIA  2014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RESOlutividad!$B$4</c:f>
              <c:strCache>
                <c:ptCount val="1"/>
                <c:pt idx="0">
                  <c:v>MEDICO</c:v>
                </c:pt>
              </c:strCache>
            </c:strRef>
          </c:tx>
          <c:marker>
            <c:symbol val="none"/>
          </c:marker>
          <c:cat>
            <c:strRef>
              <c:f>RESOlutividad!$A$6:$A$18</c:f>
              <c:strCache>
                <c:ptCount val="13"/>
                <c:pt idx="0">
                  <c:v> CESFAM L.A. Nº 1 (M)</c:v>
                </c:pt>
                <c:pt idx="1">
                  <c:v> CESFAM L.A. Nº 2</c:v>
                </c:pt>
                <c:pt idx="2">
                  <c:v> CESFAM S. ESTEBAN</c:v>
                </c:pt>
                <c:pt idx="3">
                  <c:v> CESFAM CALLE LARGA</c:v>
                </c:pt>
                <c:pt idx="4">
                  <c:v> CESFAM  RINCONADA</c:v>
                </c:pt>
                <c:pt idx="5">
                  <c:v> CONS. S. FELIPE</c:v>
                </c:pt>
                <c:pt idx="6">
                  <c:v> CESFAM  S. FELIPE N° 2</c:v>
                </c:pt>
                <c:pt idx="7">
                  <c:v> CONS. CURIMON</c:v>
                </c:pt>
                <c:pt idx="8">
                  <c:v> CESFAM  PUTAENDO</c:v>
                </c:pt>
                <c:pt idx="9">
                  <c:v> CESDFAM  STA. MARIA</c:v>
                </c:pt>
                <c:pt idx="10">
                  <c:v> CESFAM PANQUEHUE</c:v>
                </c:pt>
                <c:pt idx="11">
                  <c:v> CESFAM  LLAY  LLAY</c:v>
                </c:pt>
                <c:pt idx="12">
                  <c:v> CESFAM  CATEMU</c:v>
                </c:pt>
              </c:strCache>
            </c:strRef>
          </c:cat>
          <c:val>
            <c:numRef>
              <c:f>RESOlutividad!$D$6:$D$18</c:f>
              <c:numCache>
                <c:formatCode>0.00</c:formatCode>
                <c:ptCount val="13"/>
                <c:pt idx="0">
                  <c:v>83.316343866802583</c:v>
                </c:pt>
                <c:pt idx="1">
                  <c:v>81.609644471730761</c:v>
                </c:pt>
                <c:pt idx="2">
                  <c:v>89.084261838440113</c:v>
                </c:pt>
                <c:pt idx="3">
                  <c:v>84.220991336457885</c:v>
                </c:pt>
                <c:pt idx="4">
                  <c:v>85.609775079772746</c:v>
                </c:pt>
                <c:pt idx="5">
                  <c:v>80.572511050305195</c:v>
                </c:pt>
                <c:pt idx="6">
                  <c:v>83.793534731575917</c:v>
                </c:pt>
                <c:pt idx="7">
                  <c:v>88.960573476702507</c:v>
                </c:pt>
                <c:pt idx="8">
                  <c:v>84.692362939909032</c:v>
                </c:pt>
                <c:pt idx="9">
                  <c:v>86.234626300851474</c:v>
                </c:pt>
                <c:pt idx="10">
                  <c:v>89.663789186733297</c:v>
                </c:pt>
                <c:pt idx="11">
                  <c:v>84.096356176625903</c:v>
                </c:pt>
                <c:pt idx="12">
                  <c:v>85.603705348645391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RESOlutividad!$E$4</c:f>
              <c:strCache>
                <c:ptCount val="1"/>
                <c:pt idx="0">
                  <c:v>ODONTOLOGO</c:v>
                </c:pt>
              </c:strCache>
            </c:strRef>
          </c:tx>
          <c:marker>
            <c:symbol val="none"/>
          </c:marker>
          <c:cat>
            <c:strRef>
              <c:f>RESOlutividad!$A$6:$A$18</c:f>
              <c:strCache>
                <c:ptCount val="13"/>
                <c:pt idx="0">
                  <c:v> CESFAM L.A. Nº 1 (M)</c:v>
                </c:pt>
                <c:pt idx="1">
                  <c:v> CESFAM L.A. Nº 2</c:v>
                </c:pt>
                <c:pt idx="2">
                  <c:v> CESFAM S. ESTEBAN</c:v>
                </c:pt>
                <c:pt idx="3">
                  <c:v> CESFAM CALLE LARGA</c:v>
                </c:pt>
                <c:pt idx="4">
                  <c:v> CESFAM  RINCONADA</c:v>
                </c:pt>
                <c:pt idx="5">
                  <c:v> CONS. S. FELIPE</c:v>
                </c:pt>
                <c:pt idx="6">
                  <c:v> CESFAM  S. FELIPE N° 2</c:v>
                </c:pt>
                <c:pt idx="7">
                  <c:v> CONS. CURIMON</c:v>
                </c:pt>
                <c:pt idx="8">
                  <c:v> CESFAM  PUTAENDO</c:v>
                </c:pt>
                <c:pt idx="9">
                  <c:v> CESDFAM  STA. MARIA</c:v>
                </c:pt>
                <c:pt idx="10">
                  <c:v> CESFAM PANQUEHUE</c:v>
                </c:pt>
                <c:pt idx="11">
                  <c:v> CESFAM  LLAY  LLAY</c:v>
                </c:pt>
                <c:pt idx="12">
                  <c:v> CESFAM  CATEMU</c:v>
                </c:pt>
              </c:strCache>
            </c:strRef>
          </c:cat>
          <c:val>
            <c:numRef>
              <c:f>RESOlutividad!$G$6:$G$18</c:f>
              <c:numCache>
                <c:formatCode>0.00</c:formatCode>
                <c:ptCount val="13"/>
                <c:pt idx="0">
                  <c:v>95.269299820466784</c:v>
                </c:pt>
                <c:pt idx="1">
                  <c:v>94.498253026732755</c:v>
                </c:pt>
                <c:pt idx="2">
                  <c:v>97.017947537965938</c:v>
                </c:pt>
                <c:pt idx="3">
                  <c:v>94.312441534144071</c:v>
                </c:pt>
                <c:pt idx="4">
                  <c:v>95.405312963174097</c:v>
                </c:pt>
                <c:pt idx="5">
                  <c:v>94.613735299850561</c:v>
                </c:pt>
                <c:pt idx="6">
                  <c:v>94.971092503987236</c:v>
                </c:pt>
                <c:pt idx="7">
                  <c:v>97.204574332909786</c:v>
                </c:pt>
                <c:pt idx="8">
                  <c:v>95.953086737981693</c:v>
                </c:pt>
                <c:pt idx="9">
                  <c:v>96.012651078730372</c:v>
                </c:pt>
                <c:pt idx="10">
                  <c:v>98.836276083467084</c:v>
                </c:pt>
                <c:pt idx="11">
                  <c:v>95.907580791301712</c:v>
                </c:pt>
                <c:pt idx="12">
                  <c:v>96.345256609642306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2130952"/>
        <c:axId val="333945536"/>
      </c:lineChart>
      <c:catAx>
        <c:axId val="3321309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600" baseline="0"/>
            </a:pPr>
            <a:endParaRPr lang="es-CL"/>
          </a:p>
        </c:txPr>
        <c:crossAx val="333945536"/>
        <c:crossesAt val="80"/>
        <c:auto val="1"/>
        <c:lblAlgn val="ctr"/>
        <c:lblOffset val="100"/>
        <c:noMultiLvlLbl val="0"/>
      </c:catAx>
      <c:valAx>
        <c:axId val="333945536"/>
        <c:scaling>
          <c:orientation val="minMax"/>
          <c:max val="100"/>
          <c:min val="80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32130952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600" baseline="0"/>
          </a:pPr>
          <a:endParaRPr lang="es-CL"/>
        </a:p>
      </c:txPr>
    </c:legend>
    <c:plotVisOnly val="1"/>
    <c:dispBlanksAs val="gap"/>
    <c:showDLblsOverMax val="0"/>
  </c:chart>
  <c:printSettings>
    <c:headerFooter/>
    <c:pageMargins b="0.75000000000001377" l="0.70000000000000062" r="0.70000000000000062" t="0.75000000000001377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333399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NUMERO DE  CONSULTAS   MEDICAS
SERVICIO  DE  SALUD</a:t>
            </a:r>
          </a:p>
        </c:rich>
      </c:tx>
      <c:layout>
        <c:manualLayout>
          <c:xMode val="edge"/>
          <c:yMode val="edge"/>
          <c:x val="0.29166729158855148"/>
          <c:y val="3.71747211895910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698437303210044"/>
          <c:y val="0.21189591078066924"/>
          <c:w val="0.84523973299490063"/>
          <c:h val="0.67286245353162222"/>
        </c:manualLayout>
      </c:layout>
      <c:lineChart>
        <c:grouping val="standard"/>
        <c:varyColors val="0"/>
        <c:ser>
          <c:idx val="0"/>
          <c:order val="0"/>
          <c:spPr>
            <a:ln w="254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numRef>
              <c:f>'67'!$C$8:$H$8</c:f>
              <c:numCache>
                <c:formatCode>General</c:formatCode>
                <c:ptCount val="6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</c:numCache>
            </c:numRef>
          </c:cat>
          <c:val>
            <c:numRef>
              <c:f>'67'!$C$29:$H$29</c:f>
              <c:numCache>
                <c:formatCode>#,##0</c:formatCode>
                <c:ptCount val="6"/>
                <c:pt idx="0">
                  <c:v>291233</c:v>
                </c:pt>
                <c:pt idx="1">
                  <c:v>266277</c:v>
                </c:pt>
                <c:pt idx="2">
                  <c:v>264984</c:v>
                </c:pt>
                <c:pt idx="3">
                  <c:v>267772</c:v>
                </c:pt>
                <c:pt idx="4">
                  <c:v>244282</c:v>
                </c:pt>
                <c:pt idx="5">
                  <c:v>248510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3946320"/>
        <c:axId val="333946712"/>
      </c:lineChart>
      <c:catAx>
        <c:axId val="3339463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Numero</a:t>
                </a:r>
              </a:p>
            </c:rich>
          </c:tx>
          <c:layout>
            <c:manualLayout>
              <c:xMode val="edge"/>
              <c:yMode val="edge"/>
              <c:x val="9.9206349206350727E-3"/>
              <c:y val="9.665427509293776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L"/>
          </a:p>
        </c:txPr>
        <c:crossAx val="333946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33946712"/>
        <c:scaling>
          <c:orientation val="minMax"/>
          <c:max val="300000"/>
          <c:min val="240000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L"/>
          </a:p>
        </c:txPr>
        <c:crossAx val="333946320"/>
        <c:crosses val="autoZero"/>
        <c:crossBetween val="between"/>
        <c:majorUnit val="20000"/>
      </c:valAx>
      <c:spPr>
        <a:gradFill rotWithShape="0">
          <a:gsLst>
            <a:gs pos="0">
              <a:srgbClr val="C0C0C0"/>
            </a:gs>
            <a:gs pos="100000">
              <a:srgbClr val="C0C0C0">
                <a:gamma/>
                <a:tint val="0"/>
                <a:invGamma/>
              </a:srgbClr>
            </a:gs>
          </a:gsLst>
          <a:lin ang="5400000" scaled="1"/>
        </a:gradFill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L"/>
    </a:p>
  </c:txPr>
  <c:printSettings>
    <c:headerFooter alignWithMargins="0"/>
    <c:pageMargins b="1" l="0.75000000000001465" r="0.75000000000001465" t="1" header="0" footer="0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333399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TASA  CONSULTA   MEDICO  HABITANTE  AÑO
SERVICIO  DE  SALUD</a:t>
            </a:r>
          </a:p>
        </c:rich>
      </c:tx>
      <c:layout>
        <c:manualLayout>
          <c:xMode val="edge"/>
          <c:yMode val="edge"/>
          <c:x val="0.24404803566221969"/>
          <c:y val="3.71747211895910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1270018116819576E-2"/>
          <c:y val="0.21189591078066924"/>
          <c:w val="0.8809540879101716"/>
          <c:h val="0.67286245353162222"/>
        </c:manualLayout>
      </c:layout>
      <c:lineChart>
        <c:grouping val="standard"/>
        <c:varyColors val="0"/>
        <c:ser>
          <c:idx val="0"/>
          <c:order val="0"/>
          <c:spPr>
            <a:ln w="254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numRef>
              <c:f>'67'!$C$8:$H$8</c:f>
              <c:numCache>
                <c:formatCode>General</c:formatCode>
                <c:ptCount val="6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</c:numCache>
            </c:numRef>
          </c:cat>
          <c:val>
            <c:numRef>
              <c:f>'67'!$K$19:$P$19</c:f>
              <c:numCache>
                <c:formatCode>0.00</c:formatCode>
                <c:ptCount val="6"/>
                <c:pt idx="0">
                  <c:v>1.1263042687973268</c:v>
                </c:pt>
                <c:pt idx="1">
                  <c:v>1.0297903114775655</c:v>
                </c:pt>
                <c:pt idx="2">
                  <c:v>1.0003095484367803</c:v>
                </c:pt>
                <c:pt idx="3">
                  <c:v>0.99947744035354891</c:v>
                </c:pt>
                <c:pt idx="4">
                  <c:v>0.90158591901737239</c:v>
                </c:pt>
                <c:pt idx="5">
                  <c:v>0.90707673888921336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3947496"/>
        <c:axId val="333947888"/>
      </c:lineChart>
      <c:catAx>
        <c:axId val="3339474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Tasa</a:t>
                </a:r>
              </a:p>
            </c:rich>
          </c:tx>
          <c:layout>
            <c:manualLayout>
              <c:xMode val="edge"/>
              <c:yMode val="edge"/>
              <c:x val="9.9206349206350727E-3"/>
              <c:y val="9.665427509293776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L"/>
          </a:p>
        </c:txPr>
        <c:crossAx val="3339478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33947888"/>
        <c:scaling>
          <c:orientation val="minMax"/>
          <c:min val="0.85000000000000064"/>
        </c:scaling>
        <c:delete val="0"/>
        <c:axPos val="l"/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L"/>
          </a:p>
        </c:txPr>
        <c:crossAx val="333947496"/>
        <c:crosses val="autoZero"/>
        <c:crossBetween val="between"/>
      </c:valAx>
      <c:spPr>
        <a:gradFill rotWithShape="0">
          <a:gsLst>
            <a:gs pos="0">
              <a:srgbClr val="C0C0C0"/>
            </a:gs>
            <a:gs pos="100000">
              <a:srgbClr val="C0C0C0">
                <a:gamma/>
                <a:tint val="0"/>
                <a:invGamma/>
              </a:srgbClr>
            </a:gs>
          </a:gsLst>
          <a:lin ang="5400000" scaled="1"/>
        </a:gradFill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L"/>
    </a:p>
  </c:txPr>
  <c:printSettings>
    <c:headerFooter alignWithMargins="0"/>
    <c:pageMargins b="1" l="0.75000000000001465" r="0.75000000000001465" t="1" header="0" footer="0"/>
    <c:pageSetup orientation="landscape" horizontalDpi="300" verticalDpi="300"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525" b="1" i="0" u="none" strike="noStrike" baseline="0">
                <a:solidFill>
                  <a:srgbClr val="333399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TASA  CONSULTA   MEDICO  HABITANTE  AÑO
COMUNA  LOS  ANDES</a:t>
            </a:r>
          </a:p>
        </c:rich>
      </c:tx>
      <c:layout>
        <c:manualLayout>
          <c:xMode val="edge"/>
          <c:yMode val="edge"/>
          <c:x val="0.16783253491914907"/>
          <c:y val="4.265402843601896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4405755582378847E-2"/>
          <c:y val="0.21800998317625375"/>
          <c:w val="0.87412736650354084"/>
          <c:h val="0.68246603429084507"/>
        </c:manualLayout>
      </c:layout>
      <c:lineChart>
        <c:grouping val="standard"/>
        <c:varyColors val="0"/>
        <c:ser>
          <c:idx val="0"/>
          <c:order val="0"/>
          <c:spPr>
            <a:ln w="254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numRef>
              <c:f>'67'!$C$8:$H$8</c:f>
              <c:numCache>
                <c:formatCode>General</c:formatCode>
                <c:ptCount val="6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</c:numCache>
            </c:numRef>
          </c:cat>
          <c:val>
            <c:numRef>
              <c:f>'67'!$K$20:$P$20</c:f>
              <c:numCache>
                <c:formatCode>0.00</c:formatCode>
                <c:ptCount val="6"/>
                <c:pt idx="0">
                  <c:v>0.73366591789203861</c:v>
                </c:pt>
                <c:pt idx="1">
                  <c:v>0.67588164767167835</c:v>
                </c:pt>
                <c:pt idx="2">
                  <c:v>0.62463480035752883</c:v>
                </c:pt>
                <c:pt idx="3">
                  <c:v>0.67964008932089848</c:v>
                </c:pt>
                <c:pt idx="4">
                  <c:v>0.52217838432184205</c:v>
                </c:pt>
                <c:pt idx="5">
                  <c:v>0.49084398455519734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3948672"/>
        <c:axId val="333949064"/>
      </c:lineChart>
      <c:catAx>
        <c:axId val="3339486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5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Tasa</a:t>
                </a:r>
              </a:p>
            </c:rich>
          </c:tx>
          <c:layout>
            <c:manualLayout>
              <c:xMode val="edge"/>
              <c:yMode val="edge"/>
              <c:x val="1.7482517482517761E-2"/>
              <c:y val="0.1137445733975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L"/>
          </a:p>
        </c:txPr>
        <c:crossAx val="3339490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33949064"/>
        <c:scaling>
          <c:orientation val="minMax"/>
          <c:min val="0.5"/>
        </c:scaling>
        <c:delete val="0"/>
        <c:axPos val="l"/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L"/>
          </a:p>
        </c:txPr>
        <c:crossAx val="333948672"/>
        <c:crosses val="autoZero"/>
        <c:crossBetween val="between"/>
      </c:valAx>
      <c:spPr>
        <a:gradFill rotWithShape="0">
          <a:gsLst>
            <a:gs pos="0">
              <a:srgbClr val="C0C0C0"/>
            </a:gs>
            <a:gs pos="100000">
              <a:srgbClr val="C0C0C0">
                <a:gamma/>
                <a:tint val="0"/>
                <a:invGamma/>
              </a:srgbClr>
            </a:gs>
          </a:gsLst>
          <a:lin ang="5400000" scaled="1"/>
        </a:gradFill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L"/>
    </a:p>
  </c:txPr>
  <c:printSettings>
    <c:headerFooter alignWithMargins="0"/>
    <c:pageMargins b="1" l="0.75000000000001465" r="0.75000000000001465" t="1" header="0" footer="0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500" b="1" i="0" u="none" strike="noStrike" baseline="0">
                <a:solidFill>
                  <a:srgbClr val="333399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TASA  CONSULTA   MEDICO  HABITANTE  AÑO
COMUNA  SAN  ESTEBAN</a:t>
            </a:r>
          </a:p>
        </c:rich>
      </c:tx>
      <c:layout>
        <c:manualLayout>
          <c:xMode val="edge"/>
          <c:yMode val="edge"/>
          <c:x val="0.17241379310345459"/>
          <c:y val="4.306220095694207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3103448275865267E-2"/>
          <c:y val="0.21531100478468901"/>
          <c:w val="0.87586206896551722"/>
          <c:h val="0.6842105263157896"/>
        </c:manualLayout>
      </c:layout>
      <c:lineChart>
        <c:grouping val="standard"/>
        <c:varyColors val="0"/>
        <c:ser>
          <c:idx val="0"/>
          <c:order val="0"/>
          <c:spPr>
            <a:ln w="254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numRef>
              <c:f>'67'!$C$8:$H$8</c:f>
              <c:numCache>
                <c:formatCode>General</c:formatCode>
                <c:ptCount val="6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</c:numCache>
            </c:numRef>
          </c:cat>
          <c:val>
            <c:numRef>
              <c:f>'67'!$K$21:$P$21</c:f>
              <c:numCache>
                <c:formatCode>0.00</c:formatCode>
                <c:ptCount val="6"/>
                <c:pt idx="0">
                  <c:v>3.019863255923612</c:v>
                </c:pt>
                <c:pt idx="1">
                  <c:v>1.941117529175999</c:v>
                </c:pt>
                <c:pt idx="2">
                  <c:v>1.5439903708373932</c:v>
                </c:pt>
                <c:pt idx="3">
                  <c:v>0.9783334276178085</c:v>
                </c:pt>
                <c:pt idx="4">
                  <c:v>0.79832449036581965</c:v>
                </c:pt>
                <c:pt idx="5">
                  <c:v>0.94989250868199104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3228536"/>
        <c:axId val="333228928"/>
      </c:lineChart>
      <c:catAx>
        <c:axId val="3332285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5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Tasa</a:t>
                </a:r>
              </a:p>
            </c:rich>
          </c:tx>
          <c:layout>
            <c:manualLayout>
              <c:xMode val="edge"/>
              <c:yMode val="edge"/>
              <c:x val="1.7241379310344827E-2"/>
              <c:y val="0.1100478468899520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4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L"/>
          </a:p>
        </c:txPr>
        <c:crossAx val="3332289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33228928"/>
        <c:scaling>
          <c:orientation val="minMax"/>
          <c:min val="0.5"/>
        </c:scaling>
        <c:delete val="0"/>
        <c:axPos val="l"/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4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L"/>
          </a:p>
        </c:txPr>
        <c:crossAx val="333228536"/>
        <c:crosses val="autoZero"/>
        <c:crossBetween val="between"/>
      </c:valAx>
      <c:spPr>
        <a:gradFill rotWithShape="0">
          <a:gsLst>
            <a:gs pos="0">
              <a:srgbClr val="C0C0C0"/>
            </a:gs>
            <a:gs pos="100000">
              <a:srgbClr val="C0C0C0">
                <a:gamma/>
                <a:tint val="0"/>
                <a:invGamma/>
              </a:srgbClr>
            </a:gs>
          </a:gsLst>
          <a:lin ang="5400000" scaled="1"/>
        </a:gradFill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L"/>
    </a:p>
  </c:txPr>
  <c:printSettings>
    <c:headerFooter alignWithMargins="0"/>
    <c:pageMargins b="1" l="0.75000000000001465" r="0.75000000000001465" t="1" header="0" footer="0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50" b="1" i="0" u="none" strike="noStrike" baseline="0">
                <a:solidFill>
                  <a:srgbClr val="333399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PERFIL  CRECIMIENTO VEGETATIVO 
SERVICIO DE SALUD ACONCAGUA</a:t>
            </a:r>
          </a:p>
        </c:rich>
      </c:tx>
      <c:layout>
        <c:manualLayout>
          <c:xMode val="edge"/>
          <c:yMode val="edge"/>
          <c:x val="0.31300160513643682"/>
          <c:y val="3.351955307262569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754414125201112"/>
          <c:y val="0.22625729183574156"/>
          <c:w val="0.8667736757624398"/>
          <c:h val="0.63407907711993272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numRef>
              <c:f>'11'!$B$7:$K$7</c:f>
              <c:numCache>
                <c:formatCode>General</c:formatCode>
                <c:ptCount val="10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</c:numCache>
            </c:numRef>
          </c:cat>
          <c:val>
            <c:numRef>
              <c:f>'11'!$B$21:$K$21</c:f>
              <c:numCache>
                <c:formatCode>0.00</c:formatCode>
                <c:ptCount val="10"/>
                <c:pt idx="0">
                  <c:v>1.0161591303568374</c:v>
                </c:pt>
                <c:pt idx="1">
                  <c:v>0.88093151169616501</c:v>
                </c:pt>
                <c:pt idx="2">
                  <c:v>0.85434473782370257</c:v>
                </c:pt>
                <c:pt idx="3">
                  <c:v>0.90871346541013531</c:v>
                </c:pt>
                <c:pt idx="4">
                  <c:v>0.88137585904174054</c:v>
                </c:pt>
                <c:pt idx="5">
                  <c:v>0.93819448156831597</c:v>
                </c:pt>
                <c:pt idx="6">
                  <c:v>0.84370823927339167</c:v>
                </c:pt>
                <c:pt idx="7">
                  <c:v>0.79914300217982026</c:v>
                </c:pt>
                <c:pt idx="8">
                  <c:v>0.76324890107659427</c:v>
                </c:pt>
                <c:pt idx="9">
                  <c:v>0.74716755241488053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91304544"/>
        <c:axId val="327793800"/>
      </c:lineChart>
      <c:catAx>
        <c:axId val="291304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333399"/>
            </a:solidFill>
            <a:prstDash val="solid"/>
          </a:ln>
        </c:spPr>
        <c:txPr>
          <a:bodyPr rot="0" vert="horz"/>
          <a:lstStyle/>
          <a:p>
            <a:pPr>
              <a:defRPr sz="1100" b="1" i="1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L"/>
          </a:p>
        </c:txPr>
        <c:crossAx val="32779380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27793800"/>
        <c:scaling>
          <c:orientation val="minMax"/>
          <c:min val="0.75000000000001465"/>
        </c:scaling>
        <c:delete val="0"/>
        <c:axPos val="l"/>
        <c:majorGridlines>
          <c:spPr>
            <a:ln w="12700">
              <a:solidFill>
                <a:srgbClr val="FF0000"/>
              </a:solidFill>
              <a:prstDash val="solid"/>
            </a:ln>
          </c:spPr>
        </c:majorGridlines>
        <c:numFmt formatCode="0.00" sourceLinked="1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200" b="1" i="1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L"/>
          </a:p>
        </c:txPr>
        <c:crossAx val="291304544"/>
        <c:crosses val="autoZero"/>
        <c:crossBetween val="between"/>
        <c:majorUnit val="0.1"/>
      </c:valAx>
      <c:spPr>
        <a:noFill/>
        <a:ln w="25400">
          <a:noFill/>
        </a:ln>
      </c:spPr>
    </c:plotArea>
    <c:plotVisOnly val="1"/>
    <c:dispBlanksAs val="gap"/>
    <c:showDLblsOverMax val="0"/>
  </c:chart>
  <c:spPr>
    <a:gradFill rotWithShape="0">
      <a:gsLst>
        <a:gs pos="0">
          <a:srgbClr val="969696"/>
        </a:gs>
        <a:gs pos="100000">
          <a:srgbClr val="969696">
            <a:gamma/>
            <a:tint val="0"/>
            <a:invGamma/>
          </a:srgbClr>
        </a:gs>
      </a:gsLst>
      <a:lin ang="5400000" scaled="1"/>
    </a:gra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L"/>
    </a:p>
  </c:txPr>
  <c:printSettings>
    <c:headerFooter alignWithMargins="0"/>
    <c:pageMargins b="1" l="0.75000000000001465" r="0.75000000000001465" t="1" header="0.5" footer="0.5"/>
    <c:pageSetup paperSize="5" orientation="landscape" horizontalDpi="300" verticalDpi="300"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500" b="1" i="0" u="none" strike="noStrike" baseline="0">
                <a:solidFill>
                  <a:srgbClr val="333399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TASA  CONSULTA   MEDICO  HABITANTE  AÑO
COMUNA  CALLE  LARGA</a:t>
            </a:r>
          </a:p>
        </c:rich>
      </c:tx>
      <c:layout>
        <c:manualLayout>
          <c:xMode val="edge"/>
          <c:yMode val="edge"/>
          <c:x val="0.16783253491914907"/>
          <c:y val="4.265402843601896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188830291244391"/>
          <c:y val="0.20379194079518897"/>
          <c:w val="0.83916227184336656"/>
          <c:h val="0.69668407667192789"/>
        </c:manualLayout>
      </c:layout>
      <c:lineChart>
        <c:grouping val="standard"/>
        <c:varyColors val="0"/>
        <c:ser>
          <c:idx val="0"/>
          <c:order val="0"/>
          <c:spPr>
            <a:ln w="254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numRef>
              <c:f>'67'!$C$8:$H$8</c:f>
              <c:numCache>
                <c:formatCode>General</c:formatCode>
                <c:ptCount val="6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</c:numCache>
            </c:numRef>
          </c:cat>
          <c:val>
            <c:numRef>
              <c:f>'67'!$K$22:$P$22</c:f>
              <c:numCache>
                <c:formatCode>0.00</c:formatCode>
                <c:ptCount val="6"/>
                <c:pt idx="0">
                  <c:v>1.2643459341854772</c:v>
                </c:pt>
                <c:pt idx="1">
                  <c:v>1.1173964282476656</c:v>
                </c:pt>
                <c:pt idx="2">
                  <c:v>1.2282903051092255</c:v>
                </c:pt>
                <c:pt idx="3">
                  <c:v>1.1621134252997927</c:v>
                </c:pt>
                <c:pt idx="4">
                  <c:v>0.92491221752048258</c:v>
                </c:pt>
                <c:pt idx="5">
                  <c:v>1.2672786177105833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3229712"/>
        <c:axId val="333230104"/>
      </c:lineChart>
      <c:catAx>
        <c:axId val="3332297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5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Tasa</a:t>
                </a:r>
              </a:p>
            </c:rich>
          </c:tx>
          <c:layout>
            <c:manualLayout>
              <c:xMode val="edge"/>
              <c:yMode val="edge"/>
              <c:x val="1.7482517482517761E-2"/>
              <c:y val="9.952606635071860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4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L"/>
          </a:p>
        </c:txPr>
        <c:crossAx val="3332301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33230104"/>
        <c:scaling>
          <c:orientation val="minMax"/>
          <c:min val="0.9"/>
        </c:scaling>
        <c:delete val="0"/>
        <c:axPos val="l"/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4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L"/>
          </a:p>
        </c:txPr>
        <c:crossAx val="333229712"/>
        <c:crosses val="autoZero"/>
        <c:crossBetween val="between"/>
      </c:valAx>
      <c:spPr>
        <a:gradFill rotWithShape="0">
          <a:gsLst>
            <a:gs pos="0">
              <a:srgbClr val="C0C0C0"/>
            </a:gs>
            <a:gs pos="100000">
              <a:srgbClr val="C0C0C0">
                <a:gamma/>
                <a:tint val="0"/>
                <a:invGamma/>
              </a:srgbClr>
            </a:gs>
          </a:gsLst>
          <a:lin ang="5400000" scaled="1"/>
        </a:gradFill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5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L"/>
    </a:p>
  </c:txPr>
  <c:printSettings>
    <c:headerFooter alignWithMargins="0"/>
    <c:pageMargins b="1" l="0.75000000000001465" r="0.75000000000001465" t="1" header="0" footer="0"/>
    <c:pageSetup orientation="landscape" horizontalDpi="300" verticalDpi="300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500" b="1" i="0" u="none" strike="noStrike" baseline="0">
                <a:solidFill>
                  <a:srgbClr val="333399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TASA  CONSULTA   MEDICO  HABITANTE  AÑO
COMUNA  RINCONADA</a:t>
            </a:r>
          </a:p>
        </c:rich>
      </c:tx>
      <c:layout>
        <c:manualLayout>
          <c:xMode val="edge"/>
          <c:yMode val="edge"/>
          <c:x val="0.17241379310345459"/>
          <c:y val="4.306220095694207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034482758620692"/>
          <c:y val="0.20574162679425836"/>
          <c:w val="0.84137931034485436"/>
          <c:h val="0.69377990430622005"/>
        </c:manualLayout>
      </c:layout>
      <c:lineChart>
        <c:grouping val="standard"/>
        <c:varyColors val="0"/>
        <c:ser>
          <c:idx val="0"/>
          <c:order val="0"/>
          <c:spPr>
            <a:ln w="254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numRef>
              <c:f>'67'!$C$8:$H$8</c:f>
              <c:numCache>
                <c:formatCode>General</c:formatCode>
                <c:ptCount val="6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</c:numCache>
            </c:numRef>
          </c:cat>
          <c:val>
            <c:numRef>
              <c:f>'67'!$K$23:$P$23</c:f>
              <c:numCache>
                <c:formatCode>0.00</c:formatCode>
                <c:ptCount val="6"/>
                <c:pt idx="0">
                  <c:v>1.2182051282051283</c:v>
                </c:pt>
                <c:pt idx="1">
                  <c:v>0.94987179487179485</c:v>
                </c:pt>
                <c:pt idx="2">
                  <c:v>1.722909636295463</c:v>
                </c:pt>
                <c:pt idx="3">
                  <c:v>1.8114794656110835</c:v>
                </c:pt>
                <c:pt idx="4">
                  <c:v>2.0662672698373883</c:v>
                </c:pt>
                <c:pt idx="5">
                  <c:v>1.5533123791102514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3230888"/>
        <c:axId val="333231280"/>
      </c:lineChart>
      <c:catAx>
        <c:axId val="3332308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Tasa</a:t>
                </a:r>
              </a:p>
            </c:rich>
          </c:tx>
          <c:layout>
            <c:manualLayout>
              <c:xMode val="edge"/>
              <c:yMode val="edge"/>
              <c:x val="1.7241379310344827E-2"/>
              <c:y val="0.1004784688995199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4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L"/>
          </a:p>
        </c:txPr>
        <c:crossAx val="3332312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33231280"/>
        <c:scaling>
          <c:orientation val="minMax"/>
          <c:min val="0.9"/>
        </c:scaling>
        <c:delete val="0"/>
        <c:axPos val="l"/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4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L"/>
          </a:p>
        </c:txPr>
        <c:crossAx val="333230888"/>
        <c:crosses val="autoZero"/>
        <c:crossBetween val="between"/>
      </c:valAx>
      <c:spPr>
        <a:gradFill rotWithShape="0">
          <a:gsLst>
            <a:gs pos="0">
              <a:srgbClr val="C0C0C0"/>
            </a:gs>
            <a:gs pos="100000">
              <a:srgbClr val="C0C0C0">
                <a:gamma/>
                <a:tint val="0"/>
                <a:invGamma/>
              </a:srgbClr>
            </a:gs>
          </a:gsLst>
          <a:lin ang="5400000" scaled="1"/>
        </a:gradFill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L"/>
    </a:p>
  </c:txPr>
  <c:printSettings>
    <c:headerFooter alignWithMargins="0"/>
    <c:pageMargins b="1" l="0.75000000000001465" r="0.75000000000001465" t="1" header="0" footer="0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500" b="1" i="0" u="none" strike="noStrike" baseline="0">
                <a:solidFill>
                  <a:srgbClr val="333399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TASA  CONSULTA   MEDICO  HABITANTE  AÑO
COMUNA  SAN  FELIPE</a:t>
            </a:r>
          </a:p>
        </c:rich>
      </c:tx>
      <c:layout>
        <c:manualLayout>
          <c:xMode val="edge"/>
          <c:yMode val="edge"/>
          <c:x val="0.16783253491914907"/>
          <c:y val="4.265402843601896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188830291244391"/>
          <c:y val="0.20379194079518897"/>
          <c:w val="0.83916227184336656"/>
          <c:h val="0.69668407667192789"/>
        </c:manualLayout>
      </c:layout>
      <c:lineChart>
        <c:grouping val="standard"/>
        <c:varyColors val="0"/>
        <c:ser>
          <c:idx val="0"/>
          <c:order val="0"/>
          <c:spPr>
            <a:ln w="254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numRef>
              <c:f>'67'!$C$8:$H$8</c:f>
              <c:numCache>
                <c:formatCode>General</c:formatCode>
                <c:ptCount val="6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</c:numCache>
            </c:numRef>
          </c:cat>
          <c:val>
            <c:numRef>
              <c:f>'67'!$K$25:$P$25</c:f>
              <c:numCache>
                <c:formatCode>0.00</c:formatCode>
                <c:ptCount val="6"/>
                <c:pt idx="0">
                  <c:v>0.80627340575283524</c:v>
                </c:pt>
                <c:pt idx="1">
                  <c:v>0.87369525377812007</c:v>
                </c:pt>
                <c:pt idx="2">
                  <c:v>0.90576788898364213</c:v>
                </c:pt>
                <c:pt idx="3">
                  <c:v>0.91401030244300507</c:v>
                </c:pt>
                <c:pt idx="4">
                  <c:v>0.92659903843733482</c:v>
                </c:pt>
                <c:pt idx="5">
                  <c:v>0.91577927161122774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4746920"/>
        <c:axId val="334747312"/>
      </c:lineChart>
      <c:catAx>
        <c:axId val="3347469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5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Tasa</a:t>
                </a:r>
              </a:p>
            </c:rich>
          </c:tx>
          <c:layout>
            <c:manualLayout>
              <c:xMode val="edge"/>
              <c:yMode val="edge"/>
              <c:x val="1.7482517482517761E-2"/>
              <c:y val="9.952606635071860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4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L"/>
          </a:p>
        </c:txPr>
        <c:crossAx val="3347473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34747312"/>
        <c:scaling>
          <c:orientation val="minMax"/>
          <c:min val="0.70000000000000062"/>
        </c:scaling>
        <c:delete val="0"/>
        <c:axPos val="l"/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4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L"/>
          </a:p>
        </c:txPr>
        <c:crossAx val="334746920"/>
        <c:crosses val="autoZero"/>
        <c:crossBetween val="between"/>
      </c:valAx>
      <c:spPr>
        <a:gradFill rotWithShape="0">
          <a:gsLst>
            <a:gs pos="0">
              <a:srgbClr val="C0C0C0"/>
            </a:gs>
            <a:gs pos="100000">
              <a:srgbClr val="C0C0C0">
                <a:gamma/>
                <a:tint val="0"/>
                <a:invGamma/>
              </a:srgbClr>
            </a:gs>
          </a:gsLst>
          <a:lin ang="5400000" scaled="1"/>
        </a:gradFill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5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L"/>
    </a:p>
  </c:txPr>
  <c:printSettings>
    <c:headerFooter alignWithMargins="0"/>
    <c:pageMargins b="1" l="0.75000000000001465" r="0.75000000000001465" t="1" header="0" footer="0"/>
    <c:pageSetup paperSize="9" orientation="landscape" horizontalDpi="300" verticalDpi="300"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500" b="1" i="0" u="none" strike="noStrike" baseline="0">
                <a:solidFill>
                  <a:srgbClr val="333399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TASA  CONSULTA   MEDICO  HABITANTE  AÑO
COMUNA  PUTAENDO</a:t>
            </a:r>
          </a:p>
        </c:rich>
      </c:tx>
      <c:layout>
        <c:manualLayout>
          <c:xMode val="edge"/>
          <c:yMode val="edge"/>
          <c:x val="0.17241379310345459"/>
          <c:y val="4.306220095694207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034482758620692"/>
          <c:y val="0.20574162679425836"/>
          <c:w val="0.84137931034485436"/>
          <c:h val="0.69377990430622005"/>
        </c:manualLayout>
      </c:layout>
      <c:lineChart>
        <c:grouping val="standard"/>
        <c:varyColors val="0"/>
        <c:ser>
          <c:idx val="0"/>
          <c:order val="0"/>
          <c:spPr>
            <a:ln w="254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numRef>
              <c:f>'67'!$C$8:$H$8</c:f>
              <c:numCache>
                <c:formatCode>General</c:formatCode>
                <c:ptCount val="6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</c:numCache>
            </c:numRef>
          </c:cat>
          <c:val>
            <c:numRef>
              <c:f>'67'!$K$27:$P$27</c:f>
              <c:numCache>
                <c:formatCode>0.00</c:formatCode>
                <c:ptCount val="6"/>
                <c:pt idx="0">
                  <c:v>1.4259181845326963</c:v>
                </c:pt>
                <c:pt idx="1">
                  <c:v>1.4816363093460734</c:v>
                </c:pt>
                <c:pt idx="2">
                  <c:v>1.3395929317081705</c:v>
                </c:pt>
                <c:pt idx="3">
                  <c:v>1.4558721735117675</c:v>
                </c:pt>
                <c:pt idx="4">
                  <c:v>1.1619400855920115</c:v>
                </c:pt>
                <c:pt idx="5">
                  <c:v>1.198690449311357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4748096"/>
        <c:axId val="334748488"/>
      </c:lineChart>
      <c:catAx>
        <c:axId val="3347480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Tasa</a:t>
                </a:r>
              </a:p>
            </c:rich>
          </c:tx>
          <c:layout>
            <c:manualLayout>
              <c:xMode val="edge"/>
              <c:yMode val="edge"/>
              <c:x val="1.7241379310344827E-2"/>
              <c:y val="0.1004784688995199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4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L"/>
          </a:p>
        </c:txPr>
        <c:crossAx val="3347484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34748488"/>
        <c:scaling>
          <c:orientation val="minMax"/>
          <c:min val="1"/>
        </c:scaling>
        <c:delete val="0"/>
        <c:axPos val="l"/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4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L"/>
          </a:p>
        </c:txPr>
        <c:crossAx val="334748096"/>
        <c:crosses val="autoZero"/>
        <c:crossBetween val="between"/>
      </c:valAx>
      <c:spPr>
        <a:gradFill rotWithShape="0">
          <a:gsLst>
            <a:gs pos="0">
              <a:srgbClr val="C0C0C0"/>
            </a:gs>
            <a:gs pos="100000">
              <a:srgbClr val="C0C0C0">
                <a:gamma/>
                <a:tint val="0"/>
                <a:invGamma/>
              </a:srgbClr>
            </a:gs>
          </a:gsLst>
          <a:lin ang="5400000" scaled="1"/>
        </a:gradFill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L"/>
    </a:p>
  </c:txPr>
  <c:printSettings>
    <c:headerFooter alignWithMargins="0"/>
    <c:pageMargins b="1" l="0.75000000000001465" r="0.75000000000001465" t="1" header="0" footer="0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500" b="1" i="0" u="none" strike="noStrike" baseline="0">
                <a:solidFill>
                  <a:srgbClr val="333399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TASA  CONSULTA   MEDICO  HABITANTE  AÑO
COMUNA  SANTA  MARIA</a:t>
            </a:r>
          </a:p>
        </c:rich>
      </c:tx>
      <c:layout>
        <c:manualLayout>
          <c:xMode val="edge"/>
          <c:yMode val="edge"/>
          <c:x val="0.16783253491914907"/>
          <c:y val="4.265402843601896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188830291244391"/>
          <c:y val="0.20379194079518897"/>
          <c:w val="0.83916227184336656"/>
          <c:h val="0.69668407667192789"/>
        </c:manualLayout>
      </c:layout>
      <c:lineChart>
        <c:grouping val="standard"/>
        <c:varyColors val="0"/>
        <c:ser>
          <c:idx val="0"/>
          <c:order val="0"/>
          <c:spPr>
            <a:ln w="254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numRef>
              <c:f>'67'!$C$8:$H$8</c:f>
              <c:numCache>
                <c:formatCode>General</c:formatCode>
                <c:ptCount val="6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</c:numCache>
            </c:numRef>
          </c:cat>
          <c:val>
            <c:numRef>
              <c:f>'67'!$K$28:$P$28</c:f>
              <c:numCache>
                <c:formatCode>0.00</c:formatCode>
                <c:ptCount val="6"/>
                <c:pt idx="0">
                  <c:v>1.2973539063045452</c:v>
                </c:pt>
                <c:pt idx="1">
                  <c:v>1.2116176778607834</c:v>
                </c:pt>
                <c:pt idx="2">
                  <c:v>1.1034103410341034</c:v>
                </c:pt>
                <c:pt idx="3">
                  <c:v>1.0496177996177996</c:v>
                </c:pt>
                <c:pt idx="4">
                  <c:v>0.93967328678912765</c:v>
                </c:pt>
                <c:pt idx="5">
                  <c:v>1.1377825618945103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4749272"/>
        <c:axId val="334749664"/>
      </c:lineChart>
      <c:catAx>
        <c:axId val="3347492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5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Tasa</a:t>
                </a:r>
              </a:p>
            </c:rich>
          </c:tx>
          <c:layout>
            <c:manualLayout>
              <c:xMode val="edge"/>
              <c:yMode val="edge"/>
              <c:x val="1.7482517482517761E-2"/>
              <c:y val="9.952606635071860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4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L"/>
          </a:p>
        </c:txPr>
        <c:crossAx val="3347496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34749664"/>
        <c:scaling>
          <c:orientation val="minMax"/>
          <c:min val="0.9"/>
        </c:scaling>
        <c:delete val="0"/>
        <c:axPos val="l"/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4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L"/>
          </a:p>
        </c:txPr>
        <c:crossAx val="334749272"/>
        <c:crosses val="autoZero"/>
        <c:crossBetween val="between"/>
      </c:valAx>
      <c:spPr>
        <a:gradFill rotWithShape="0">
          <a:gsLst>
            <a:gs pos="0">
              <a:srgbClr val="C0C0C0"/>
            </a:gs>
            <a:gs pos="100000">
              <a:srgbClr val="C0C0C0">
                <a:gamma/>
                <a:tint val="0"/>
                <a:invGamma/>
              </a:srgbClr>
            </a:gs>
          </a:gsLst>
          <a:lin ang="5400000" scaled="1"/>
        </a:gradFill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5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L"/>
    </a:p>
  </c:txPr>
  <c:printSettings>
    <c:headerFooter alignWithMargins="0"/>
    <c:pageMargins b="1" l="0.75000000000001465" r="0.75000000000001465" t="1" header="0" footer="0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500" b="1" i="0" u="none" strike="noStrike" baseline="0">
                <a:solidFill>
                  <a:srgbClr val="333399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TASA  CONSULTA   MEDICO  HABITANTE  AÑO
COMUNA  PANQUEHUE</a:t>
            </a:r>
          </a:p>
        </c:rich>
      </c:tx>
      <c:layout>
        <c:manualLayout>
          <c:xMode val="edge"/>
          <c:yMode val="edge"/>
          <c:x val="0.17241379310345459"/>
          <c:y val="4.306220095694207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034482758620692"/>
          <c:y val="0.20574162679425836"/>
          <c:w val="0.84137931034485436"/>
          <c:h val="0.69377990430622005"/>
        </c:manualLayout>
      </c:layout>
      <c:lineChart>
        <c:grouping val="standard"/>
        <c:varyColors val="0"/>
        <c:ser>
          <c:idx val="0"/>
          <c:order val="0"/>
          <c:spPr>
            <a:ln w="254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numRef>
              <c:f>'67'!$C$8:$H$8</c:f>
              <c:numCache>
                <c:formatCode>General</c:formatCode>
                <c:ptCount val="6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</c:numCache>
            </c:numRef>
          </c:cat>
          <c:val>
            <c:numRef>
              <c:f>'67'!$K$29:$P$29</c:f>
              <c:numCache>
                <c:formatCode>0.00</c:formatCode>
                <c:ptCount val="6"/>
                <c:pt idx="0">
                  <c:v>1.6938137321549966</c:v>
                </c:pt>
                <c:pt idx="1">
                  <c:v>1.5559483344663494</c:v>
                </c:pt>
                <c:pt idx="2">
                  <c:v>1.5609235286267182</c:v>
                </c:pt>
                <c:pt idx="3">
                  <c:v>1.4866331392271044</c:v>
                </c:pt>
                <c:pt idx="4">
                  <c:v>1.4916633845345937</c:v>
                </c:pt>
                <c:pt idx="5">
                  <c:v>1.7190835719864619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4750448"/>
        <c:axId val="336597096"/>
      </c:lineChart>
      <c:catAx>
        <c:axId val="3347504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Tasa</a:t>
                </a:r>
              </a:p>
            </c:rich>
          </c:tx>
          <c:layout>
            <c:manualLayout>
              <c:xMode val="edge"/>
              <c:yMode val="edge"/>
              <c:x val="1.7241379310344827E-2"/>
              <c:y val="0.1004784688995199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4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L"/>
          </a:p>
        </c:txPr>
        <c:crossAx val="3365970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36597096"/>
        <c:scaling>
          <c:orientation val="minMax"/>
          <c:min val="1.4"/>
        </c:scaling>
        <c:delete val="0"/>
        <c:axPos val="l"/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4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L"/>
          </a:p>
        </c:txPr>
        <c:crossAx val="334750448"/>
        <c:crosses val="autoZero"/>
        <c:crossBetween val="between"/>
      </c:valAx>
      <c:spPr>
        <a:gradFill rotWithShape="0">
          <a:gsLst>
            <a:gs pos="0">
              <a:srgbClr val="C0C0C0"/>
            </a:gs>
            <a:gs pos="100000">
              <a:srgbClr val="C0C0C0">
                <a:gamma/>
                <a:tint val="0"/>
                <a:invGamma/>
              </a:srgbClr>
            </a:gs>
          </a:gsLst>
          <a:lin ang="5400000" scaled="1"/>
        </a:gradFill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L"/>
    </a:p>
  </c:txPr>
  <c:printSettings>
    <c:headerFooter alignWithMargins="0"/>
    <c:pageMargins b="1" l="0.75000000000001465" r="0.75000000000001465" t="1" header="0" footer="0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500" b="1" i="0" u="none" strike="noStrike" baseline="0">
                <a:solidFill>
                  <a:srgbClr val="333399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TASA  CONSULTA   MEDICO  HABITANTE  AÑO
COMUNA  LLAY  LLAY</a:t>
            </a:r>
          </a:p>
        </c:rich>
      </c:tx>
      <c:layout>
        <c:manualLayout>
          <c:xMode val="edge"/>
          <c:yMode val="edge"/>
          <c:x val="0.16783253491914907"/>
          <c:y val="4.265402843601896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188830291244391"/>
          <c:y val="0.20379194079518897"/>
          <c:w val="0.83916227184336656"/>
          <c:h val="0.69668407667192789"/>
        </c:manualLayout>
      </c:layout>
      <c:lineChart>
        <c:grouping val="standard"/>
        <c:varyColors val="0"/>
        <c:ser>
          <c:idx val="0"/>
          <c:order val="0"/>
          <c:spPr>
            <a:ln w="254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numRef>
              <c:f>'67'!$C$8:$H$8</c:f>
              <c:numCache>
                <c:formatCode>General</c:formatCode>
                <c:ptCount val="6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</c:numCache>
            </c:numRef>
          </c:cat>
          <c:val>
            <c:numRef>
              <c:f>'67'!$K$30:$P$30</c:f>
              <c:numCache>
                <c:formatCode>0.00</c:formatCode>
                <c:ptCount val="6"/>
                <c:pt idx="0">
                  <c:v>1.2466375396213485</c:v>
                </c:pt>
                <c:pt idx="1">
                  <c:v>1.0625803135440761</c:v>
                </c:pt>
                <c:pt idx="2">
                  <c:v>0.97572053143172466</c:v>
                </c:pt>
                <c:pt idx="3">
                  <c:v>1.1188763854810051</c:v>
                </c:pt>
                <c:pt idx="4">
                  <c:v>1.0500674308833446</c:v>
                </c:pt>
                <c:pt idx="5">
                  <c:v>1.0338933221335573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6597880"/>
        <c:axId val="336598272"/>
      </c:lineChart>
      <c:catAx>
        <c:axId val="3365978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5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Tasa</a:t>
                </a:r>
              </a:p>
            </c:rich>
          </c:tx>
          <c:layout>
            <c:manualLayout>
              <c:xMode val="edge"/>
              <c:yMode val="edge"/>
              <c:x val="1.7482517482517761E-2"/>
              <c:y val="9.952606635071860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4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L"/>
          </a:p>
        </c:txPr>
        <c:crossAx val="3365982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36598272"/>
        <c:scaling>
          <c:orientation val="minMax"/>
          <c:min val="0.95000000000000062"/>
        </c:scaling>
        <c:delete val="0"/>
        <c:axPos val="l"/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4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L"/>
          </a:p>
        </c:txPr>
        <c:crossAx val="336597880"/>
        <c:crosses val="autoZero"/>
        <c:crossBetween val="between"/>
      </c:valAx>
      <c:spPr>
        <a:gradFill rotWithShape="0">
          <a:gsLst>
            <a:gs pos="0">
              <a:srgbClr val="C0C0C0"/>
            </a:gs>
            <a:gs pos="100000">
              <a:srgbClr val="C0C0C0">
                <a:gamma/>
                <a:tint val="0"/>
                <a:invGamma/>
              </a:srgbClr>
            </a:gs>
          </a:gsLst>
          <a:lin ang="5400000" scaled="1"/>
        </a:gradFill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5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L"/>
    </a:p>
  </c:txPr>
  <c:printSettings>
    <c:headerFooter alignWithMargins="0"/>
    <c:pageMargins b="1" l="0.75000000000001465" r="0.75000000000001465" t="1" header="0" footer="0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500" b="1" i="0" u="none" strike="noStrike" baseline="0">
                <a:solidFill>
                  <a:srgbClr val="333399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TASA  CONSULTA   MEDICO  HABITANTE  AÑO
COMUNA  CATEMU</a:t>
            </a:r>
          </a:p>
        </c:rich>
      </c:tx>
      <c:layout>
        <c:manualLayout>
          <c:xMode val="edge"/>
          <c:yMode val="edge"/>
          <c:x val="0.17241379310345459"/>
          <c:y val="4.306220095694207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034482758620692"/>
          <c:y val="0.20574162679425836"/>
          <c:w val="0.84137931034485436"/>
          <c:h val="0.69377990430622005"/>
        </c:manualLayout>
      </c:layout>
      <c:lineChart>
        <c:grouping val="standard"/>
        <c:varyColors val="0"/>
        <c:ser>
          <c:idx val="0"/>
          <c:order val="0"/>
          <c:spPr>
            <a:ln w="254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numRef>
              <c:f>'67'!$C$8:$H$8</c:f>
              <c:numCache>
                <c:formatCode>General</c:formatCode>
                <c:ptCount val="6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</c:numCache>
            </c:numRef>
          </c:cat>
          <c:val>
            <c:numRef>
              <c:f>'67'!$K$31:$P$31</c:f>
              <c:numCache>
                <c:formatCode>0.00</c:formatCode>
                <c:ptCount val="6"/>
                <c:pt idx="0">
                  <c:v>1.4134520276953511</c:v>
                </c:pt>
                <c:pt idx="1">
                  <c:v>1.5490375104618428</c:v>
                </c:pt>
                <c:pt idx="2">
                  <c:v>1.5082831325301205</c:v>
                </c:pt>
                <c:pt idx="3">
                  <c:v>1.5563813813813814</c:v>
                </c:pt>
                <c:pt idx="4">
                  <c:v>1.3301929116195603</c:v>
                </c:pt>
                <c:pt idx="5">
                  <c:v>1.1745286534018928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6599056"/>
        <c:axId val="336599448"/>
      </c:lineChart>
      <c:catAx>
        <c:axId val="3365990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Tasa</a:t>
                </a:r>
              </a:p>
            </c:rich>
          </c:tx>
          <c:layout>
            <c:manualLayout>
              <c:xMode val="edge"/>
              <c:yMode val="edge"/>
              <c:x val="1.7241379310344827E-2"/>
              <c:y val="0.1004784688995199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4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L"/>
          </a:p>
        </c:txPr>
        <c:crossAx val="3365994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36599448"/>
        <c:scaling>
          <c:orientation val="minMax"/>
          <c:min val="1.2"/>
        </c:scaling>
        <c:delete val="0"/>
        <c:axPos val="l"/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4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L"/>
          </a:p>
        </c:txPr>
        <c:crossAx val="336599056"/>
        <c:crosses val="autoZero"/>
        <c:crossBetween val="between"/>
      </c:valAx>
      <c:spPr>
        <a:gradFill rotWithShape="0">
          <a:gsLst>
            <a:gs pos="0">
              <a:srgbClr val="C0C0C0"/>
            </a:gs>
            <a:gs pos="100000">
              <a:srgbClr val="C0C0C0">
                <a:gamma/>
                <a:tint val="0"/>
                <a:invGamma/>
              </a:srgbClr>
            </a:gs>
          </a:gsLst>
          <a:lin ang="5400000" scaled="1"/>
        </a:gradFill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L"/>
    </a:p>
  </c:txPr>
  <c:printSettings>
    <c:headerFooter alignWithMargins="0"/>
    <c:pageMargins b="1" l="0.75000000000001465" r="0.75000000000001465" t="1" header="0" footer="0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333399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NUMERO DE  CONSULTAS   MEDICAS
SERVICIO  DE  SALUD</a:t>
            </a:r>
          </a:p>
        </c:rich>
      </c:tx>
      <c:layout>
        <c:manualLayout>
          <c:xMode val="edge"/>
          <c:yMode val="edge"/>
          <c:x val="0.29166729158855148"/>
          <c:y val="3.71747211895910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698437303210044"/>
          <c:y val="0.21189591078066924"/>
          <c:w val="0.84523973299490063"/>
          <c:h val="0.67286245353162222"/>
        </c:manualLayout>
      </c:layout>
      <c:lineChart>
        <c:grouping val="standard"/>
        <c:varyColors val="0"/>
        <c:ser>
          <c:idx val="0"/>
          <c:order val="0"/>
          <c:spPr>
            <a:ln w="254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numRef>
              <c:f>'67'!$C$8:$H$8</c:f>
              <c:numCache>
                <c:formatCode>General</c:formatCode>
                <c:ptCount val="6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</c:numCache>
            </c:numRef>
          </c:cat>
          <c:val>
            <c:numRef>
              <c:f>'67'!$C$29:$H$29</c:f>
              <c:numCache>
                <c:formatCode>#,##0</c:formatCode>
                <c:ptCount val="6"/>
                <c:pt idx="0">
                  <c:v>291233</c:v>
                </c:pt>
                <c:pt idx="1">
                  <c:v>266277</c:v>
                </c:pt>
                <c:pt idx="2">
                  <c:v>264984</c:v>
                </c:pt>
                <c:pt idx="3">
                  <c:v>267772</c:v>
                </c:pt>
                <c:pt idx="4">
                  <c:v>244282</c:v>
                </c:pt>
                <c:pt idx="5">
                  <c:v>248510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6600232"/>
        <c:axId val="336600624"/>
      </c:lineChart>
      <c:catAx>
        <c:axId val="336600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Numero</a:t>
                </a:r>
              </a:p>
            </c:rich>
          </c:tx>
          <c:layout>
            <c:manualLayout>
              <c:xMode val="edge"/>
              <c:yMode val="edge"/>
              <c:x val="9.9206349206350727E-3"/>
              <c:y val="9.665427509293776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L"/>
          </a:p>
        </c:txPr>
        <c:crossAx val="3366006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36600624"/>
        <c:scaling>
          <c:orientation val="minMax"/>
          <c:max val="300000"/>
          <c:min val="240000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L"/>
          </a:p>
        </c:txPr>
        <c:crossAx val="336600232"/>
        <c:crosses val="autoZero"/>
        <c:crossBetween val="between"/>
        <c:majorUnit val="20000"/>
      </c:valAx>
      <c:spPr>
        <a:gradFill rotWithShape="0">
          <a:gsLst>
            <a:gs pos="0">
              <a:srgbClr val="C0C0C0"/>
            </a:gs>
            <a:gs pos="100000">
              <a:srgbClr val="C0C0C0">
                <a:gamma/>
                <a:tint val="0"/>
                <a:invGamma/>
              </a:srgbClr>
            </a:gs>
          </a:gsLst>
          <a:lin ang="5400000" scaled="1"/>
        </a:gradFill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L"/>
    </a:p>
  </c:txPr>
  <c:printSettings>
    <c:headerFooter alignWithMargins="0"/>
    <c:pageMargins b="1" l="0.75000000000001465" r="0.75000000000001465" t="1" header="0" footer="0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333399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TASA  CONSULTA   MEDICO  HABITANTE  AÑO
SERVICIO  DE  SALUD</a:t>
            </a:r>
          </a:p>
        </c:rich>
      </c:tx>
      <c:layout>
        <c:manualLayout>
          <c:xMode val="edge"/>
          <c:yMode val="edge"/>
          <c:x val="0.24404803566221969"/>
          <c:y val="3.71747211895910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1270018116819576E-2"/>
          <c:y val="0.21189591078066924"/>
          <c:w val="0.8809540879101716"/>
          <c:h val="0.67286245353162222"/>
        </c:manualLayout>
      </c:layout>
      <c:lineChart>
        <c:grouping val="standard"/>
        <c:varyColors val="0"/>
        <c:ser>
          <c:idx val="0"/>
          <c:order val="0"/>
          <c:spPr>
            <a:ln w="254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numRef>
              <c:f>'67'!$C$8:$H$8</c:f>
              <c:numCache>
                <c:formatCode>General</c:formatCode>
                <c:ptCount val="6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</c:numCache>
            </c:numRef>
          </c:cat>
          <c:val>
            <c:numRef>
              <c:f>'67'!$K$19:$P$19</c:f>
              <c:numCache>
                <c:formatCode>0.00</c:formatCode>
                <c:ptCount val="6"/>
                <c:pt idx="0">
                  <c:v>1.1263042687973268</c:v>
                </c:pt>
                <c:pt idx="1">
                  <c:v>1.0297903114775655</c:v>
                </c:pt>
                <c:pt idx="2">
                  <c:v>1.0003095484367803</c:v>
                </c:pt>
                <c:pt idx="3">
                  <c:v>0.99947744035354891</c:v>
                </c:pt>
                <c:pt idx="4">
                  <c:v>0.90158591901737239</c:v>
                </c:pt>
                <c:pt idx="5">
                  <c:v>0.90707673888921336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4941448"/>
        <c:axId val="334941840"/>
      </c:lineChart>
      <c:catAx>
        <c:axId val="3349414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Tasa</a:t>
                </a:r>
              </a:p>
            </c:rich>
          </c:tx>
          <c:layout>
            <c:manualLayout>
              <c:xMode val="edge"/>
              <c:yMode val="edge"/>
              <c:x val="9.9206349206350727E-3"/>
              <c:y val="9.665427509293776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L"/>
          </a:p>
        </c:txPr>
        <c:crossAx val="3349418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34941840"/>
        <c:scaling>
          <c:orientation val="minMax"/>
          <c:min val="0.85000000000000064"/>
        </c:scaling>
        <c:delete val="0"/>
        <c:axPos val="l"/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L"/>
          </a:p>
        </c:txPr>
        <c:crossAx val="334941448"/>
        <c:crosses val="autoZero"/>
        <c:crossBetween val="between"/>
      </c:valAx>
      <c:spPr>
        <a:gradFill rotWithShape="0">
          <a:gsLst>
            <a:gs pos="0">
              <a:srgbClr val="C0C0C0"/>
            </a:gs>
            <a:gs pos="100000">
              <a:srgbClr val="C0C0C0">
                <a:gamma/>
                <a:tint val="0"/>
                <a:invGamma/>
              </a:srgbClr>
            </a:gs>
          </a:gsLst>
          <a:lin ang="5400000" scaled="1"/>
        </a:gradFill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L"/>
    </a:p>
  </c:txPr>
  <c:printSettings>
    <c:headerFooter alignWithMargins="0"/>
    <c:pageMargins b="1" l="0.75000000000001465" r="0.75000000000001465" t="1" header="0" footer="0"/>
    <c:pageSetup orientation="landscape" horizontalDpi="300" verticalDpi="300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50" b="1" i="0" u="none" strike="noStrike" baseline="0">
                <a:solidFill>
                  <a:srgbClr val="333399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PERFIL  CRECIMIENTO VEGETATIVO 
SERVICIO DE SALUD ACONCAGUA</a:t>
            </a:r>
          </a:p>
        </c:rich>
      </c:tx>
      <c:layout>
        <c:manualLayout>
          <c:xMode val="edge"/>
          <c:yMode val="edge"/>
          <c:x val="0.31300160513643682"/>
          <c:y val="3.351955307262569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754414125201112"/>
          <c:y val="0.22625729183574156"/>
          <c:w val="0.8667736757624398"/>
          <c:h val="0.63407907711993272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numRef>
              <c:f>'11'!$B$7:$K$7</c:f>
              <c:numCache>
                <c:formatCode>General</c:formatCode>
                <c:ptCount val="10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</c:numCache>
            </c:numRef>
          </c:cat>
          <c:val>
            <c:numRef>
              <c:f>'11'!$B$21:$K$21</c:f>
              <c:numCache>
                <c:formatCode>0.00</c:formatCode>
                <c:ptCount val="10"/>
                <c:pt idx="0">
                  <c:v>1.0161591303568374</c:v>
                </c:pt>
                <c:pt idx="1">
                  <c:v>0.88093151169616501</c:v>
                </c:pt>
                <c:pt idx="2">
                  <c:v>0.85434473782370257</c:v>
                </c:pt>
                <c:pt idx="3">
                  <c:v>0.90871346541013531</c:v>
                </c:pt>
                <c:pt idx="4">
                  <c:v>0.88137585904174054</c:v>
                </c:pt>
                <c:pt idx="5">
                  <c:v>0.93819448156831597</c:v>
                </c:pt>
                <c:pt idx="6">
                  <c:v>0.84370823927339167</c:v>
                </c:pt>
                <c:pt idx="7">
                  <c:v>0.79914300217982026</c:v>
                </c:pt>
                <c:pt idx="8">
                  <c:v>0.76324890107659427</c:v>
                </c:pt>
                <c:pt idx="9">
                  <c:v>0.74716755241488053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91303760"/>
        <c:axId val="291303368"/>
      </c:lineChart>
      <c:catAx>
        <c:axId val="2913037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333399"/>
            </a:solidFill>
            <a:prstDash val="solid"/>
          </a:ln>
        </c:spPr>
        <c:txPr>
          <a:bodyPr rot="0" vert="horz"/>
          <a:lstStyle/>
          <a:p>
            <a:pPr>
              <a:defRPr sz="1100" b="1" i="1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L"/>
          </a:p>
        </c:txPr>
        <c:crossAx val="29130336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91303368"/>
        <c:scaling>
          <c:orientation val="minMax"/>
          <c:min val="0.72000000000000064"/>
        </c:scaling>
        <c:delete val="0"/>
        <c:axPos val="l"/>
        <c:majorGridlines>
          <c:spPr>
            <a:ln w="12700">
              <a:solidFill>
                <a:srgbClr val="FF0000"/>
              </a:solidFill>
              <a:prstDash val="solid"/>
            </a:ln>
          </c:spPr>
        </c:majorGridlines>
        <c:numFmt formatCode="0.00" sourceLinked="1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200" b="1" i="1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L"/>
          </a:p>
        </c:txPr>
        <c:crossAx val="291303760"/>
        <c:crosses val="autoZero"/>
        <c:crossBetween val="between"/>
        <c:majorUnit val="0.1"/>
      </c:valAx>
      <c:spPr>
        <a:noFill/>
        <a:ln w="25400">
          <a:noFill/>
        </a:ln>
      </c:spPr>
    </c:plotArea>
    <c:plotVisOnly val="1"/>
    <c:dispBlanksAs val="gap"/>
    <c:showDLblsOverMax val="0"/>
  </c:chart>
  <c:spPr>
    <a:gradFill rotWithShape="0">
      <a:gsLst>
        <a:gs pos="0">
          <a:srgbClr val="969696"/>
        </a:gs>
        <a:gs pos="100000">
          <a:srgbClr val="969696">
            <a:gamma/>
            <a:tint val="0"/>
            <a:invGamma/>
          </a:srgbClr>
        </a:gs>
      </a:gsLst>
      <a:lin ang="5400000" scaled="1"/>
    </a:gra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L"/>
    </a:p>
  </c:txPr>
  <c:printSettings>
    <c:headerFooter alignWithMargins="0"/>
    <c:pageMargins b="1" l="0.75000000000001465" r="0.75000000000001465" t="1" header="0.5" footer="0.5"/>
    <c:pageSetup paperSize="5" orientation="landscape" horizontalDpi="300" verticalDpi="300"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525" b="1" i="0" u="none" strike="noStrike" baseline="0">
                <a:solidFill>
                  <a:srgbClr val="333399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TASA  CONSULTA   MEDICO  HABITANTE  AÑO
COMUNA  LOS  ANDES</a:t>
            </a:r>
          </a:p>
        </c:rich>
      </c:tx>
      <c:layout>
        <c:manualLayout>
          <c:xMode val="edge"/>
          <c:yMode val="edge"/>
          <c:x val="0.16783253491914907"/>
          <c:y val="4.265402843601896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4405755582378847E-2"/>
          <c:y val="0.21800998317625375"/>
          <c:w val="0.87412736650354084"/>
          <c:h val="0.68246603429084507"/>
        </c:manualLayout>
      </c:layout>
      <c:lineChart>
        <c:grouping val="standard"/>
        <c:varyColors val="0"/>
        <c:ser>
          <c:idx val="0"/>
          <c:order val="0"/>
          <c:spPr>
            <a:ln w="254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numRef>
              <c:f>'67'!$C$8:$H$8</c:f>
              <c:numCache>
                <c:formatCode>General</c:formatCode>
                <c:ptCount val="6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</c:numCache>
            </c:numRef>
          </c:cat>
          <c:val>
            <c:numRef>
              <c:f>'67'!$K$20:$P$20</c:f>
              <c:numCache>
                <c:formatCode>0.00</c:formatCode>
                <c:ptCount val="6"/>
                <c:pt idx="0">
                  <c:v>0.73366591789203861</c:v>
                </c:pt>
                <c:pt idx="1">
                  <c:v>0.67588164767167835</c:v>
                </c:pt>
                <c:pt idx="2">
                  <c:v>0.62463480035752883</c:v>
                </c:pt>
                <c:pt idx="3">
                  <c:v>0.67964008932089848</c:v>
                </c:pt>
                <c:pt idx="4">
                  <c:v>0.52217838432184205</c:v>
                </c:pt>
                <c:pt idx="5">
                  <c:v>0.49084398455519734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4942624"/>
        <c:axId val="334943016"/>
      </c:lineChart>
      <c:catAx>
        <c:axId val="3349426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5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Tasa</a:t>
                </a:r>
              </a:p>
            </c:rich>
          </c:tx>
          <c:layout>
            <c:manualLayout>
              <c:xMode val="edge"/>
              <c:yMode val="edge"/>
              <c:x val="1.7482517482517761E-2"/>
              <c:y val="0.1137445733975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L"/>
          </a:p>
        </c:txPr>
        <c:crossAx val="3349430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34943016"/>
        <c:scaling>
          <c:orientation val="minMax"/>
          <c:min val="0.4"/>
        </c:scaling>
        <c:delete val="0"/>
        <c:axPos val="l"/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L"/>
          </a:p>
        </c:txPr>
        <c:crossAx val="334942624"/>
        <c:crosses val="autoZero"/>
        <c:crossBetween val="between"/>
      </c:valAx>
      <c:spPr>
        <a:gradFill rotWithShape="0">
          <a:gsLst>
            <a:gs pos="0">
              <a:srgbClr val="C0C0C0"/>
            </a:gs>
            <a:gs pos="100000">
              <a:srgbClr val="C0C0C0">
                <a:gamma/>
                <a:tint val="0"/>
                <a:invGamma/>
              </a:srgbClr>
            </a:gs>
          </a:gsLst>
          <a:lin ang="5400000" scaled="1"/>
        </a:gradFill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L"/>
    </a:p>
  </c:txPr>
  <c:printSettings>
    <c:headerFooter alignWithMargins="0"/>
    <c:pageMargins b="1" l="0.75000000000001465" r="0.75000000000001465" t="1" header="0" footer="0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500" b="1" i="0" u="none" strike="noStrike" baseline="0">
                <a:solidFill>
                  <a:srgbClr val="333399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TASA  CONSULTA   MEDICO  HABITANTE  AÑO
COMUNA  SAN  ESTEBAN</a:t>
            </a:r>
          </a:p>
        </c:rich>
      </c:tx>
      <c:layout>
        <c:manualLayout>
          <c:xMode val="edge"/>
          <c:yMode val="edge"/>
          <c:x val="0.17241379310345459"/>
          <c:y val="4.306220095694207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3103448275865267E-2"/>
          <c:y val="0.21531100478468901"/>
          <c:w val="0.87586206896551722"/>
          <c:h val="0.6842105263157896"/>
        </c:manualLayout>
      </c:layout>
      <c:lineChart>
        <c:grouping val="standard"/>
        <c:varyColors val="0"/>
        <c:ser>
          <c:idx val="0"/>
          <c:order val="0"/>
          <c:spPr>
            <a:ln w="254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numRef>
              <c:f>'67'!$C$8:$H$8</c:f>
              <c:numCache>
                <c:formatCode>General</c:formatCode>
                <c:ptCount val="6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</c:numCache>
            </c:numRef>
          </c:cat>
          <c:val>
            <c:numRef>
              <c:f>'67'!$K$21:$P$21</c:f>
              <c:numCache>
                <c:formatCode>0.00</c:formatCode>
                <c:ptCount val="6"/>
                <c:pt idx="0">
                  <c:v>3.019863255923612</c:v>
                </c:pt>
                <c:pt idx="1">
                  <c:v>1.941117529175999</c:v>
                </c:pt>
                <c:pt idx="2">
                  <c:v>1.5439903708373932</c:v>
                </c:pt>
                <c:pt idx="3">
                  <c:v>0.9783334276178085</c:v>
                </c:pt>
                <c:pt idx="4">
                  <c:v>0.79832449036581965</c:v>
                </c:pt>
                <c:pt idx="5">
                  <c:v>0.94989250868199104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4943800"/>
        <c:axId val="334944192"/>
      </c:lineChart>
      <c:catAx>
        <c:axId val="3349438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5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Tasa</a:t>
                </a:r>
              </a:p>
            </c:rich>
          </c:tx>
          <c:layout>
            <c:manualLayout>
              <c:xMode val="edge"/>
              <c:yMode val="edge"/>
              <c:x val="1.7241379310344827E-2"/>
              <c:y val="0.1100478468899520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4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L"/>
          </a:p>
        </c:txPr>
        <c:crossAx val="3349441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34944192"/>
        <c:scaling>
          <c:orientation val="minMax"/>
          <c:min val="0.5"/>
        </c:scaling>
        <c:delete val="0"/>
        <c:axPos val="l"/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4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L"/>
          </a:p>
        </c:txPr>
        <c:crossAx val="334943800"/>
        <c:crosses val="autoZero"/>
        <c:crossBetween val="between"/>
      </c:valAx>
      <c:spPr>
        <a:gradFill rotWithShape="0">
          <a:gsLst>
            <a:gs pos="0">
              <a:srgbClr val="C0C0C0"/>
            </a:gs>
            <a:gs pos="100000">
              <a:srgbClr val="C0C0C0">
                <a:gamma/>
                <a:tint val="0"/>
                <a:invGamma/>
              </a:srgbClr>
            </a:gs>
          </a:gsLst>
          <a:lin ang="5400000" scaled="1"/>
        </a:gradFill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L"/>
    </a:p>
  </c:txPr>
  <c:printSettings>
    <c:headerFooter alignWithMargins="0"/>
    <c:pageMargins b="1" l="0.75000000000001465" r="0.75000000000001465" t="1" header="0" footer="0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500" b="1" i="0" u="none" strike="noStrike" baseline="0">
                <a:solidFill>
                  <a:srgbClr val="333399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TASA  CONSULTA   MEDICO  HABITANTE  AÑO
COMUNA  CALLE  LARGA</a:t>
            </a:r>
          </a:p>
        </c:rich>
      </c:tx>
      <c:layout>
        <c:manualLayout>
          <c:xMode val="edge"/>
          <c:yMode val="edge"/>
          <c:x val="0.16783253491914907"/>
          <c:y val="4.265402843601896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188830291244391"/>
          <c:y val="0.20379194079518897"/>
          <c:w val="0.83916227184336656"/>
          <c:h val="0.69668407667192789"/>
        </c:manualLayout>
      </c:layout>
      <c:lineChart>
        <c:grouping val="standard"/>
        <c:varyColors val="0"/>
        <c:ser>
          <c:idx val="0"/>
          <c:order val="0"/>
          <c:spPr>
            <a:ln w="254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numRef>
              <c:f>'67'!$C$8:$H$8</c:f>
              <c:numCache>
                <c:formatCode>General</c:formatCode>
                <c:ptCount val="6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</c:numCache>
            </c:numRef>
          </c:cat>
          <c:val>
            <c:numRef>
              <c:f>'67'!$K$22:$P$22</c:f>
              <c:numCache>
                <c:formatCode>0.00</c:formatCode>
                <c:ptCount val="6"/>
                <c:pt idx="0">
                  <c:v>1.2643459341854772</c:v>
                </c:pt>
                <c:pt idx="1">
                  <c:v>1.1173964282476656</c:v>
                </c:pt>
                <c:pt idx="2">
                  <c:v>1.2282903051092255</c:v>
                </c:pt>
                <c:pt idx="3">
                  <c:v>1.1621134252997927</c:v>
                </c:pt>
                <c:pt idx="4">
                  <c:v>0.92491221752048258</c:v>
                </c:pt>
                <c:pt idx="5">
                  <c:v>1.2672786177105833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4887792"/>
        <c:axId val="334888184"/>
      </c:lineChart>
      <c:catAx>
        <c:axId val="3348877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5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Tasa</a:t>
                </a:r>
              </a:p>
            </c:rich>
          </c:tx>
          <c:layout>
            <c:manualLayout>
              <c:xMode val="edge"/>
              <c:yMode val="edge"/>
              <c:x val="1.7482517482517761E-2"/>
              <c:y val="9.952606635071860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4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L"/>
          </a:p>
        </c:txPr>
        <c:crossAx val="3348881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34888184"/>
        <c:scaling>
          <c:orientation val="minMax"/>
          <c:min val="0.9"/>
        </c:scaling>
        <c:delete val="0"/>
        <c:axPos val="l"/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4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L"/>
          </a:p>
        </c:txPr>
        <c:crossAx val="334887792"/>
        <c:crosses val="autoZero"/>
        <c:crossBetween val="between"/>
      </c:valAx>
      <c:spPr>
        <a:gradFill rotWithShape="0">
          <a:gsLst>
            <a:gs pos="0">
              <a:srgbClr val="C0C0C0"/>
            </a:gs>
            <a:gs pos="100000">
              <a:srgbClr val="C0C0C0">
                <a:gamma/>
                <a:tint val="0"/>
                <a:invGamma/>
              </a:srgbClr>
            </a:gs>
          </a:gsLst>
          <a:lin ang="5400000" scaled="1"/>
        </a:gradFill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5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L"/>
    </a:p>
  </c:txPr>
  <c:printSettings>
    <c:headerFooter alignWithMargins="0"/>
    <c:pageMargins b="1" l="0.75000000000001465" r="0.75000000000001465" t="1" header="0" footer="0"/>
    <c:pageSetup orientation="landscape" horizontalDpi="300" verticalDpi="300"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500" b="1" i="0" u="none" strike="noStrike" baseline="0">
                <a:solidFill>
                  <a:srgbClr val="333399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TASA  CONSULTA   MEDICO  HABITANTE  AÑO
COMUNA  RINCONADA</a:t>
            </a:r>
          </a:p>
        </c:rich>
      </c:tx>
      <c:layout>
        <c:manualLayout>
          <c:xMode val="edge"/>
          <c:yMode val="edge"/>
          <c:x val="0.17241379310345459"/>
          <c:y val="4.306220095694207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034482758620692"/>
          <c:y val="0.20574162679425836"/>
          <c:w val="0.84137931034485436"/>
          <c:h val="0.69377990430622005"/>
        </c:manualLayout>
      </c:layout>
      <c:lineChart>
        <c:grouping val="standard"/>
        <c:varyColors val="0"/>
        <c:ser>
          <c:idx val="0"/>
          <c:order val="0"/>
          <c:spPr>
            <a:ln w="254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numRef>
              <c:f>'67'!$C$8:$H$8</c:f>
              <c:numCache>
                <c:formatCode>General</c:formatCode>
                <c:ptCount val="6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</c:numCache>
            </c:numRef>
          </c:cat>
          <c:val>
            <c:numRef>
              <c:f>'67'!$K$23:$P$23</c:f>
              <c:numCache>
                <c:formatCode>0.00</c:formatCode>
                <c:ptCount val="6"/>
                <c:pt idx="0">
                  <c:v>1.2182051282051283</c:v>
                </c:pt>
                <c:pt idx="1">
                  <c:v>0.94987179487179485</c:v>
                </c:pt>
                <c:pt idx="2">
                  <c:v>1.722909636295463</c:v>
                </c:pt>
                <c:pt idx="3">
                  <c:v>1.8114794656110835</c:v>
                </c:pt>
                <c:pt idx="4">
                  <c:v>2.0662672698373883</c:v>
                </c:pt>
                <c:pt idx="5">
                  <c:v>1.5533123791102514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4888968"/>
        <c:axId val="334889360"/>
      </c:lineChart>
      <c:catAx>
        <c:axId val="3348889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Tasa</a:t>
                </a:r>
              </a:p>
            </c:rich>
          </c:tx>
          <c:layout>
            <c:manualLayout>
              <c:xMode val="edge"/>
              <c:yMode val="edge"/>
              <c:x val="1.7241379310344827E-2"/>
              <c:y val="0.1004784688995199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4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L"/>
          </a:p>
        </c:txPr>
        <c:crossAx val="3348893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34889360"/>
        <c:scaling>
          <c:orientation val="minMax"/>
          <c:min val="0.9"/>
        </c:scaling>
        <c:delete val="0"/>
        <c:axPos val="l"/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4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L"/>
          </a:p>
        </c:txPr>
        <c:crossAx val="334888968"/>
        <c:crosses val="autoZero"/>
        <c:crossBetween val="between"/>
      </c:valAx>
      <c:spPr>
        <a:gradFill rotWithShape="0">
          <a:gsLst>
            <a:gs pos="0">
              <a:srgbClr val="C0C0C0"/>
            </a:gs>
            <a:gs pos="100000">
              <a:srgbClr val="C0C0C0">
                <a:gamma/>
                <a:tint val="0"/>
                <a:invGamma/>
              </a:srgbClr>
            </a:gs>
          </a:gsLst>
          <a:lin ang="5400000" scaled="1"/>
        </a:gradFill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L"/>
    </a:p>
  </c:txPr>
  <c:printSettings>
    <c:headerFooter alignWithMargins="0"/>
    <c:pageMargins b="1" l="0.75000000000001465" r="0.75000000000001465" t="1" header="0" footer="0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500" b="1" i="0" u="none" strike="noStrike" baseline="0">
                <a:solidFill>
                  <a:srgbClr val="333399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TASA  CONSULTA   MEDICO  HABITANTE  AÑO
COMUNA  SAN  FELIPE</a:t>
            </a:r>
          </a:p>
        </c:rich>
      </c:tx>
      <c:layout>
        <c:manualLayout>
          <c:xMode val="edge"/>
          <c:yMode val="edge"/>
          <c:x val="0.16783253491914907"/>
          <c:y val="4.265402843601896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188830291244391"/>
          <c:y val="0.20379194079518897"/>
          <c:w val="0.83916227184336656"/>
          <c:h val="0.69668407667192789"/>
        </c:manualLayout>
      </c:layout>
      <c:lineChart>
        <c:grouping val="standard"/>
        <c:varyColors val="0"/>
        <c:ser>
          <c:idx val="0"/>
          <c:order val="0"/>
          <c:spPr>
            <a:ln w="254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numRef>
              <c:f>'67'!$C$8:$H$8</c:f>
              <c:numCache>
                <c:formatCode>General</c:formatCode>
                <c:ptCount val="6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</c:numCache>
            </c:numRef>
          </c:cat>
          <c:val>
            <c:numRef>
              <c:f>'67'!$K$25:$P$25</c:f>
              <c:numCache>
                <c:formatCode>0.00</c:formatCode>
                <c:ptCount val="6"/>
                <c:pt idx="0">
                  <c:v>0.80627340575283524</c:v>
                </c:pt>
                <c:pt idx="1">
                  <c:v>0.87369525377812007</c:v>
                </c:pt>
                <c:pt idx="2">
                  <c:v>0.90576788898364213</c:v>
                </c:pt>
                <c:pt idx="3">
                  <c:v>0.91401030244300507</c:v>
                </c:pt>
                <c:pt idx="4">
                  <c:v>0.92659903843733482</c:v>
                </c:pt>
                <c:pt idx="5">
                  <c:v>0.91577927161122774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4890536"/>
        <c:axId val="334890928"/>
      </c:lineChart>
      <c:catAx>
        <c:axId val="3348905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5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Tasa</a:t>
                </a:r>
              </a:p>
            </c:rich>
          </c:tx>
          <c:layout>
            <c:manualLayout>
              <c:xMode val="edge"/>
              <c:yMode val="edge"/>
              <c:x val="1.7482517482517761E-2"/>
              <c:y val="9.952606635071860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4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L"/>
          </a:p>
        </c:txPr>
        <c:crossAx val="3348909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34890928"/>
        <c:scaling>
          <c:orientation val="minMax"/>
          <c:min val="0.70000000000000062"/>
        </c:scaling>
        <c:delete val="0"/>
        <c:axPos val="l"/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4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L"/>
          </a:p>
        </c:txPr>
        <c:crossAx val="334890536"/>
        <c:crosses val="autoZero"/>
        <c:crossBetween val="between"/>
      </c:valAx>
      <c:spPr>
        <a:gradFill rotWithShape="0">
          <a:gsLst>
            <a:gs pos="0">
              <a:srgbClr val="C0C0C0"/>
            </a:gs>
            <a:gs pos="100000">
              <a:srgbClr val="C0C0C0">
                <a:gamma/>
                <a:tint val="0"/>
                <a:invGamma/>
              </a:srgbClr>
            </a:gs>
          </a:gsLst>
          <a:lin ang="5400000" scaled="1"/>
        </a:gradFill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5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L"/>
    </a:p>
  </c:txPr>
  <c:printSettings>
    <c:headerFooter alignWithMargins="0"/>
    <c:pageMargins b="1" l="0.75000000000001465" r="0.75000000000001465" t="1" header="0" footer="0"/>
    <c:pageSetup paperSize="9" orientation="landscape" horizontalDpi="300" verticalDpi="300"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500" b="1" i="0" u="none" strike="noStrike" baseline="0">
                <a:solidFill>
                  <a:srgbClr val="333399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TASA  CONSULTA   MEDICO  HABITANTE  AÑO
COMUNA  PUTAENDO</a:t>
            </a:r>
          </a:p>
        </c:rich>
      </c:tx>
      <c:layout>
        <c:manualLayout>
          <c:xMode val="edge"/>
          <c:yMode val="edge"/>
          <c:x val="0.17241379310345459"/>
          <c:y val="4.306220095694207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034482758620692"/>
          <c:y val="0.20574162679425836"/>
          <c:w val="0.84137931034485436"/>
          <c:h val="0.69377990430622005"/>
        </c:manualLayout>
      </c:layout>
      <c:lineChart>
        <c:grouping val="standard"/>
        <c:varyColors val="0"/>
        <c:ser>
          <c:idx val="0"/>
          <c:order val="0"/>
          <c:spPr>
            <a:ln w="254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numRef>
              <c:f>'67'!$C$8:$H$8</c:f>
              <c:numCache>
                <c:formatCode>General</c:formatCode>
                <c:ptCount val="6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</c:numCache>
            </c:numRef>
          </c:cat>
          <c:val>
            <c:numRef>
              <c:f>'67'!$K$27:$P$27</c:f>
              <c:numCache>
                <c:formatCode>0.00</c:formatCode>
                <c:ptCount val="6"/>
                <c:pt idx="0">
                  <c:v>1.4259181845326963</c:v>
                </c:pt>
                <c:pt idx="1">
                  <c:v>1.4816363093460734</c:v>
                </c:pt>
                <c:pt idx="2">
                  <c:v>1.3395929317081705</c:v>
                </c:pt>
                <c:pt idx="3">
                  <c:v>1.4558721735117675</c:v>
                </c:pt>
                <c:pt idx="4">
                  <c:v>1.1619400855920115</c:v>
                </c:pt>
                <c:pt idx="5">
                  <c:v>1.198690449311357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4891320"/>
        <c:axId val="334891712"/>
      </c:lineChart>
      <c:catAx>
        <c:axId val="3348913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Tasa</a:t>
                </a:r>
              </a:p>
            </c:rich>
          </c:tx>
          <c:layout>
            <c:manualLayout>
              <c:xMode val="edge"/>
              <c:yMode val="edge"/>
              <c:x val="1.7241379310344827E-2"/>
              <c:y val="0.1004784688995199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4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L"/>
          </a:p>
        </c:txPr>
        <c:crossAx val="334891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34891712"/>
        <c:scaling>
          <c:orientation val="minMax"/>
          <c:min val="1"/>
        </c:scaling>
        <c:delete val="0"/>
        <c:axPos val="l"/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4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L"/>
          </a:p>
        </c:txPr>
        <c:crossAx val="334891320"/>
        <c:crosses val="autoZero"/>
        <c:crossBetween val="between"/>
      </c:valAx>
      <c:spPr>
        <a:gradFill rotWithShape="0">
          <a:gsLst>
            <a:gs pos="0">
              <a:srgbClr val="C0C0C0"/>
            </a:gs>
            <a:gs pos="100000">
              <a:srgbClr val="C0C0C0">
                <a:gamma/>
                <a:tint val="0"/>
                <a:invGamma/>
              </a:srgbClr>
            </a:gs>
          </a:gsLst>
          <a:lin ang="5400000" scaled="1"/>
        </a:gradFill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L"/>
    </a:p>
  </c:txPr>
  <c:printSettings>
    <c:headerFooter alignWithMargins="0"/>
    <c:pageMargins b="1" l="0.75000000000001465" r="0.75000000000001465" t="1" header="0" footer="0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500" b="1" i="0" u="none" strike="noStrike" baseline="0">
                <a:solidFill>
                  <a:srgbClr val="333399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TASA  CONSULTA   MEDICO  HABITANTE  AÑO
COMUNA  SANTA  MARIA</a:t>
            </a:r>
          </a:p>
        </c:rich>
      </c:tx>
      <c:layout>
        <c:manualLayout>
          <c:xMode val="edge"/>
          <c:yMode val="edge"/>
          <c:x val="0.16783253491914907"/>
          <c:y val="4.265402843601896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188830291244391"/>
          <c:y val="0.20379194079518897"/>
          <c:w val="0.83916227184336656"/>
          <c:h val="0.69668407667192789"/>
        </c:manualLayout>
      </c:layout>
      <c:lineChart>
        <c:grouping val="standard"/>
        <c:varyColors val="0"/>
        <c:ser>
          <c:idx val="0"/>
          <c:order val="0"/>
          <c:spPr>
            <a:ln w="254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numRef>
              <c:f>'67'!$C$8:$H$8</c:f>
              <c:numCache>
                <c:formatCode>General</c:formatCode>
                <c:ptCount val="6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</c:numCache>
            </c:numRef>
          </c:cat>
          <c:val>
            <c:numRef>
              <c:f>'67'!$K$28:$P$28</c:f>
              <c:numCache>
                <c:formatCode>0.00</c:formatCode>
                <c:ptCount val="6"/>
                <c:pt idx="0">
                  <c:v>1.2973539063045452</c:v>
                </c:pt>
                <c:pt idx="1">
                  <c:v>1.2116176778607834</c:v>
                </c:pt>
                <c:pt idx="2">
                  <c:v>1.1034103410341034</c:v>
                </c:pt>
                <c:pt idx="3">
                  <c:v>1.0496177996177996</c:v>
                </c:pt>
                <c:pt idx="4">
                  <c:v>0.93967328678912765</c:v>
                </c:pt>
                <c:pt idx="5">
                  <c:v>1.1377825618945103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4892496"/>
        <c:axId val="334892888"/>
      </c:lineChart>
      <c:catAx>
        <c:axId val="3348924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5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Tasa</a:t>
                </a:r>
              </a:p>
            </c:rich>
          </c:tx>
          <c:layout>
            <c:manualLayout>
              <c:xMode val="edge"/>
              <c:yMode val="edge"/>
              <c:x val="1.7482517482517761E-2"/>
              <c:y val="9.952606635071860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4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L"/>
          </a:p>
        </c:txPr>
        <c:crossAx val="3348928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34892888"/>
        <c:scaling>
          <c:orientation val="minMax"/>
          <c:min val="0.9"/>
        </c:scaling>
        <c:delete val="0"/>
        <c:axPos val="l"/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4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L"/>
          </a:p>
        </c:txPr>
        <c:crossAx val="334892496"/>
        <c:crosses val="autoZero"/>
        <c:crossBetween val="between"/>
      </c:valAx>
      <c:spPr>
        <a:gradFill rotWithShape="0">
          <a:gsLst>
            <a:gs pos="0">
              <a:srgbClr val="C0C0C0"/>
            </a:gs>
            <a:gs pos="100000">
              <a:srgbClr val="C0C0C0">
                <a:gamma/>
                <a:tint val="0"/>
                <a:invGamma/>
              </a:srgbClr>
            </a:gs>
          </a:gsLst>
          <a:lin ang="5400000" scaled="1"/>
        </a:gradFill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5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L"/>
    </a:p>
  </c:txPr>
  <c:printSettings>
    <c:headerFooter alignWithMargins="0"/>
    <c:pageMargins b="1" l="0.75000000000001465" r="0.75000000000001465" t="1" header="0" footer="0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500" b="1" i="0" u="none" strike="noStrike" baseline="0">
                <a:solidFill>
                  <a:srgbClr val="333399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TASA  CONSULTA   MEDICO  HABITANTE  AÑO
COMUNA  PANQUEHUE</a:t>
            </a:r>
          </a:p>
        </c:rich>
      </c:tx>
      <c:layout>
        <c:manualLayout>
          <c:xMode val="edge"/>
          <c:yMode val="edge"/>
          <c:x val="0.17241379310345459"/>
          <c:y val="4.306220095694207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034482758620692"/>
          <c:y val="0.20574162679425836"/>
          <c:w val="0.84137931034485436"/>
          <c:h val="0.69377990430622005"/>
        </c:manualLayout>
      </c:layout>
      <c:lineChart>
        <c:grouping val="standard"/>
        <c:varyColors val="0"/>
        <c:ser>
          <c:idx val="0"/>
          <c:order val="0"/>
          <c:spPr>
            <a:ln w="254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numRef>
              <c:f>'67'!$C$8:$H$8</c:f>
              <c:numCache>
                <c:formatCode>General</c:formatCode>
                <c:ptCount val="6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</c:numCache>
            </c:numRef>
          </c:cat>
          <c:val>
            <c:numRef>
              <c:f>'67'!$K$29:$P$29</c:f>
              <c:numCache>
                <c:formatCode>0.00</c:formatCode>
                <c:ptCount val="6"/>
                <c:pt idx="0">
                  <c:v>1.6938137321549966</c:v>
                </c:pt>
                <c:pt idx="1">
                  <c:v>1.5559483344663494</c:v>
                </c:pt>
                <c:pt idx="2">
                  <c:v>1.5609235286267182</c:v>
                </c:pt>
                <c:pt idx="3">
                  <c:v>1.4866331392271044</c:v>
                </c:pt>
                <c:pt idx="4">
                  <c:v>1.4916633845345937</c:v>
                </c:pt>
                <c:pt idx="5">
                  <c:v>1.7190835719864619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4893672"/>
        <c:axId val="334894064"/>
      </c:lineChart>
      <c:catAx>
        <c:axId val="3348936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Tasa</a:t>
                </a:r>
              </a:p>
            </c:rich>
          </c:tx>
          <c:layout>
            <c:manualLayout>
              <c:xMode val="edge"/>
              <c:yMode val="edge"/>
              <c:x val="1.7241379310344827E-2"/>
              <c:y val="0.1004784688995199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4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L"/>
          </a:p>
        </c:txPr>
        <c:crossAx val="3348940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34894064"/>
        <c:scaling>
          <c:orientation val="minMax"/>
          <c:min val="1.4"/>
        </c:scaling>
        <c:delete val="0"/>
        <c:axPos val="l"/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4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L"/>
          </a:p>
        </c:txPr>
        <c:crossAx val="334893672"/>
        <c:crosses val="autoZero"/>
        <c:crossBetween val="between"/>
      </c:valAx>
      <c:spPr>
        <a:gradFill rotWithShape="0">
          <a:gsLst>
            <a:gs pos="0">
              <a:srgbClr val="C0C0C0"/>
            </a:gs>
            <a:gs pos="100000">
              <a:srgbClr val="C0C0C0">
                <a:gamma/>
                <a:tint val="0"/>
                <a:invGamma/>
              </a:srgbClr>
            </a:gs>
          </a:gsLst>
          <a:lin ang="5400000" scaled="1"/>
        </a:gradFill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L"/>
    </a:p>
  </c:txPr>
  <c:printSettings>
    <c:headerFooter alignWithMargins="0"/>
    <c:pageMargins b="1" l="0.75000000000001465" r="0.75000000000001465" t="1" header="0" footer="0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500" b="1" i="0" u="none" strike="noStrike" baseline="0">
                <a:solidFill>
                  <a:srgbClr val="333399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TASA  CONSULTA   MEDICO  HABITANTE  AÑO
COMUNA  LLAY  LLAY</a:t>
            </a:r>
          </a:p>
        </c:rich>
      </c:tx>
      <c:layout>
        <c:manualLayout>
          <c:xMode val="edge"/>
          <c:yMode val="edge"/>
          <c:x val="0.16783253491914907"/>
          <c:y val="4.265402843601896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188830291244391"/>
          <c:y val="0.20379194079518897"/>
          <c:w val="0.83916227184336656"/>
          <c:h val="0.69668407667192789"/>
        </c:manualLayout>
      </c:layout>
      <c:lineChart>
        <c:grouping val="standard"/>
        <c:varyColors val="0"/>
        <c:ser>
          <c:idx val="0"/>
          <c:order val="0"/>
          <c:spPr>
            <a:ln w="254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numRef>
              <c:f>'67'!$C$8:$H$8</c:f>
              <c:numCache>
                <c:formatCode>General</c:formatCode>
                <c:ptCount val="6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</c:numCache>
            </c:numRef>
          </c:cat>
          <c:val>
            <c:numRef>
              <c:f>'67'!$K$30:$P$30</c:f>
              <c:numCache>
                <c:formatCode>0.00</c:formatCode>
                <c:ptCount val="6"/>
                <c:pt idx="0">
                  <c:v>1.2466375396213485</c:v>
                </c:pt>
                <c:pt idx="1">
                  <c:v>1.0625803135440761</c:v>
                </c:pt>
                <c:pt idx="2">
                  <c:v>0.97572053143172466</c:v>
                </c:pt>
                <c:pt idx="3">
                  <c:v>1.1188763854810051</c:v>
                </c:pt>
                <c:pt idx="4">
                  <c:v>1.0500674308833446</c:v>
                </c:pt>
                <c:pt idx="5">
                  <c:v>1.0338933221335573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4894848"/>
        <c:axId val="334895240"/>
      </c:lineChart>
      <c:catAx>
        <c:axId val="3348948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5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Tasa</a:t>
                </a:r>
              </a:p>
            </c:rich>
          </c:tx>
          <c:layout>
            <c:manualLayout>
              <c:xMode val="edge"/>
              <c:yMode val="edge"/>
              <c:x val="1.7482517482517761E-2"/>
              <c:y val="9.952606635071860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4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L"/>
          </a:p>
        </c:txPr>
        <c:crossAx val="3348952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34895240"/>
        <c:scaling>
          <c:orientation val="minMax"/>
          <c:min val="0.95000000000000062"/>
        </c:scaling>
        <c:delete val="0"/>
        <c:axPos val="l"/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4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L"/>
          </a:p>
        </c:txPr>
        <c:crossAx val="334894848"/>
        <c:crosses val="autoZero"/>
        <c:crossBetween val="between"/>
      </c:valAx>
      <c:spPr>
        <a:gradFill rotWithShape="0">
          <a:gsLst>
            <a:gs pos="0">
              <a:srgbClr val="C0C0C0"/>
            </a:gs>
            <a:gs pos="100000">
              <a:srgbClr val="C0C0C0">
                <a:gamma/>
                <a:tint val="0"/>
                <a:invGamma/>
              </a:srgbClr>
            </a:gs>
          </a:gsLst>
          <a:lin ang="5400000" scaled="1"/>
        </a:gradFill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5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L"/>
    </a:p>
  </c:txPr>
  <c:printSettings>
    <c:headerFooter alignWithMargins="0"/>
    <c:pageMargins b="1" l="0.75000000000001465" r="0.75000000000001465" t="1" header="0" footer="0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500" b="1" i="0" u="none" strike="noStrike" baseline="0">
                <a:solidFill>
                  <a:srgbClr val="333399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TASA  CONSULTA   MEDICO  HABITANTE  AÑO
COMUNA  CATEMU</a:t>
            </a:r>
          </a:p>
        </c:rich>
      </c:tx>
      <c:layout>
        <c:manualLayout>
          <c:xMode val="edge"/>
          <c:yMode val="edge"/>
          <c:x val="0.17241379310345459"/>
          <c:y val="4.306220095694207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034482758620692"/>
          <c:y val="0.20574162679425836"/>
          <c:w val="0.84137931034485436"/>
          <c:h val="0.69377990430622005"/>
        </c:manualLayout>
      </c:layout>
      <c:lineChart>
        <c:grouping val="standard"/>
        <c:varyColors val="0"/>
        <c:ser>
          <c:idx val="0"/>
          <c:order val="0"/>
          <c:spPr>
            <a:ln w="254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numRef>
              <c:f>'67'!$C$8:$H$8</c:f>
              <c:numCache>
                <c:formatCode>General</c:formatCode>
                <c:ptCount val="6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</c:numCache>
            </c:numRef>
          </c:cat>
          <c:val>
            <c:numRef>
              <c:f>'67'!$K$31:$P$31</c:f>
              <c:numCache>
                <c:formatCode>0.00</c:formatCode>
                <c:ptCount val="6"/>
                <c:pt idx="0">
                  <c:v>1.4134520276953511</c:v>
                </c:pt>
                <c:pt idx="1">
                  <c:v>1.5490375104618428</c:v>
                </c:pt>
                <c:pt idx="2">
                  <c:v>1.5082831325301205</c:v>
                </c:pt>
                <c:pt idx="3">
                  <c:v>1.5563813813813814</c:v>
                </c:pt>
                <c:pt idx="4">
                  <c:v>1.3301929116195603</c:v>
                </c:pt>
                <c:pt idx="5">
                  <c:v>1.1745286534018928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7183232"/>
        <c:axId val="337183624"/>
      </c:lineChart>
      <c:catAx>
        <c:axId val="337183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Tasa</a:t>
                </a:r>
              </a:p>
            </c:rich>
          </c:tx>
          <c:layout>
            <c:manualLayout>
              <c:xMode val="edge"/>
              <c:yMode val="edge"/>
              <c:x val="1.7241379310344827E-2"/>
              <c:y val="0.1004784688995199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4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L"/>
          </a:p>
        </c:txPr>
        <c:crossAx val="3371836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37183624"/>
        <c:scaling>
          <c:orientation val="minMax"/>
          <c:min val="1"/>
        </c:scaling>
        <c:delete val="0"/>
        <c:axPos val="l"/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4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L"/>
          </a:p>
        </c:txPr>
        <c:crossAx val="337183232"/>
        <c:crosses val="autoZero"/>
        <c:crossBetween val="between"/>
      </c:valAx>
      <c:spPr>
        <a:gradFill rotWithShape="0">
          <a:gsLst>
            <a:gs pos="0">
              <a:srgbClr val="C0C0C0"/>
            </a:gs>
            <a:gs pos="100000">
              <a:srgbClr val="C0C0C0">
                <a:gamma/>
                <a:tint val="0"/>
                <a:invGamma/>
              </a:srgbClr>
            </a:gs>
          </a:gsLst>
          <a:lin ang="5400000" scaled="1"/>
        </a:gradFill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L"/>
    </a:p>
  </c:txPr>
  <c:printSettings>
    <c:headerFooter alignWithMargins="0"/>
    <c:pageMargins b="1" l="0.75000000000001465" r="0.75000000000001465" t="1" header="0" footer="0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333399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ÍNDICE DE VEJEZ SEGÚN COMUNAS  AÑO 2013
SERVICIO DE SALUD ACONCAGUA</a:t>
            </a:r>
          </a:p>
        </c:rich>
      </c:tx>
      <c:layout>
        <c:manualLayout>
          <c:xMode val="edge"/>
          <c:yMode val="edge"/>
          <c:x val="0.19203771659690091"/>
          <c:y val="4.072398190045252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6651152951131794E-2"/>
          <c:y val="0.23076923076924097"/>
          <c:w val="0.90398229835505051"/>
          <c:h val="0.6515837104072395"/>
        </c:manualLayout>
      </c:layout>
      <c:barChart>
        <c:barDir val="col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8080FF"/>
                </a:gs>
                <a:gs pos="100000">
                  <a:srgbClr val="8080FF">
                    <a:gamma/>
                    <a:tint val="0"/>
                    <a:invGamma/>
                  </a:srgbClr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'12'!$J$7:$J$16</c:f>
              <c:strCache>
                <c:ptCount val="10"/>
                <c:pt idx="0">
                  <c:v>L.A.</c:v>
                </c:pt>
                <c:pt idx="1">
                  <c:v>S.E.</c:v>
                </c:pt>
                <c:pt idx="2">
                  <c:v>C.L.</c:v>
                </c:pt>
                <c:pt idx="3">
                  <c:v>RIN.</c:v>
                </c:pt>
                <c:pt idx="4">
                  <c:v>S.F.</c:v>
                </c:pt>
                <c:pt idx="5">
                  <c:v>PUT.</c:v>
                </c:pt>
                <c:pt idx="6">
                  <c:v>S.M.</c:v>
                </c:pt>
                <c:pt idx="7">
                  <c:v>PANQ.</c:v>
                </c:pt>
                <c:pt idx="8">
                  <c:v>LL.</c:v>
                </c:pt>
                <c:pt idx="9">
                  <c:v>CAT.</c:v>
                </c:pt>
              </c:strCache>
            </c:strRef>
          </c:cat>
          <c:val>
            <c:numRef>
              <c:f>'12'!$K$7:$K$16</c:f>
              <c:numCache>
                <c:formatCode>#,##0.00</c:formatCode>
                <c:ptCount val="10"/>
                <c:pt idx="0">
                  <c:v>47.755973202110631</c:v>
                </c:pt>
                <c:pt idx="1">
                  <c:v>51.806574300461826</c:v>
                </c:pt>
                <c:pt idx="2">
                  <c:v>56.192560175054709</c:v>
                </c:pt>
                <c:pt idx="3">
                  <c:v>58.513189448441253</c:v>
                </c:pt>
                <c:pt idx="4">
                  <c:v>48.375131484249572</c:v>
                </c:pt>
                <c:pt idx="5">
                  <c:v>57.770270270270274</c:v>
                </c:pt>
                <c:pt idx="6">
                  <c:v>49.880311190903647</c:v>
                </c:pt>
                <c:pt idx="7">
                  <c:v>46.65898617511521</c:v>
                </c:pt>
                <c:pt idx="8">
                  <c:v>49.582929194956357</c:v>
                </c:pt>
                <c:pt idx="9">
                  <c:v>55.658119658119652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91302584"/>
        <c:axId val="327794584"/>
      </c:barChart>
      <c:catAx>
        <c:axId val="29130258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L"/>
          </a:p>
        </c:txPr>
        <c:crossAx val="32779458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27794584"/>
        <c:scaling>
          <c:orientation val="minMax"/>
          <c:min val="2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L"/>
          </a:p>
        </c:txPr>
        <c:crossAx val="291302584"/>
        <c:crosses val="autoZero"/>
        <c:crossBetween val="between"/>
      </c:valAx>
      <c:spPr>
        <a:solidFill>
          <a:srgbClr val="E3E3E3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L"/>
    </a:p>
  </c:txPr>
  <c:printSettings>
    <c:headerFooter alignWithMargins="0">
      <c:oddHeader>&amp;A</c:oddHeader>
      <c:oddFooter>Página &amp;P</c:oddFooter>
    </c:headerFooter>
    <c:pageMargins b="1" l="0.75000000000001465" r="0.75000000000001465" t="1" header="0.511811024" footer="0.511811024"/>
    <c:pageSetup orientation="landscape" horizontalDpi="300" verticalDpi="300"/>
  </c:printSettings>
  <c:userShapes r:id="rId1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FF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DISTRIBUCION  LECHE  26 %  y  LECHE  CEREAL
</a:t>
            </a:r>
          </a:p>
        </c:rich>
      </c:tx>
      <c:layout>
        <c:manualLayout>
          <c:xMode val="edge"/>
          <c:yMode val="edge"/>
          <c:x val="0.22181837270341206"/>
          <c:y val="3.33333333333333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818190534615176E-2"/>
          <c:y val="0.24242495982765144"/>
          <c:w val="0.89454624870938249"/>
          <c:h val="0.57272896759282665"/>
        </c:manualLayout>
      </c:layout>
      <c:barChart>
        <c:barDir val="col"/>
        <c:grouping val="clustered"/>
        <c:varyColors val="0"/>
        <c:ser>
          <c:idx val="0"/>
          <c:order val="0"/>
          <c:tx>
            <c:v>leche 26%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'71'!$C$6:$F$6</c:f>
              <c:numCache>
                <c:formatCode>General</c:formatCode>
                <c:ptCount val="4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</c:numCache>
            </c:numRef>
          </c:cat>
          <c:val>
            <c:numRef>
              <c:f>'71'!$C$20:$F$20</c:f>
              <c:numCache>
                <c:formatCode>#,##0</c:formatCode>
                <c:ptCount val="4"/>
                <c:pt idx="0">
                  <c:v>79035</c:v>
                </c:pt>
                <c:pt idx="1">
                  <c:v>77989</c:v>
                </c:pt>
                <c:pt idx="2">
                  <c:v>70883</c:v>
                </c:pt>
                <c:pt idx="3">
                  <c:v>66352</c:v>
                </c:pt>
              </c:numCache>
            </c:numRef>
          </c:val>
        </c:ser>
        <c:ser>
          <c:idx val="1"/>
          <c:order val="1"/>
          <c:tx>
            <c:v>leche  cereal</c:v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'71'!$C$21:$F$21</c:f>
              <c:numCache>
                <c:formatCode>#,##0</c:formatCode>
                <c:ptCount val="4"/>
                <c:pt idx="0">
                  <c:v>149684</c:v>
                </c:pt>
                <c:pt idx="1">
                  <c:v>148166</c:v>
                </c:pt>
                <c:pt idx="2">
                  <c:v>141011</c:v>
                </c:pt>
                <c:pt idx="3">
                  <c:v>140635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0"/>
        <c:axId val="337184408"/>
        <c:axId val="337184800"/>
      </c:barChart>
      <c:catAx>
        <c:axId val="3371844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Kilos</a:t>
                </a:r>
              </a:p>
            </c:rich>
          </c:tx>
          <c:layout>
            <c:manualLayout>
              <c:xMode val="edge"/>
              <c:yMode val="edge"/>
              <c:x val="9.0909090909091547E-3"/>
              <c:y val="0.1363639545056867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L"/>
          </a:p>
        </c:txPr>
        <c:crossAx val="3371848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37184800"/>
        <c:scaling>
          <c:orientation val="minMax"/>
          <c:min val="60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L"/>
          </a:p>
        </c:txPr>
        <c:crossAx val="337184408"/>
        <c:crosses val="autoZero"/>
        <c:crossBetween val="between"/>
      </c:valAx>
      <c:spPr>
        <a:gradFill rotWithShape="0">
          <a:gsLst>
            <a:gs pos="0">
              <a:srgbClr val="C0C0C0"/>
            </a:gs>
            <a:gs pos="100000">
              <a:srgbClr val="C0C0C0">
                <a:gamma/>
                <a:tint val="0"/>
                <a:invGamma/>
              </a:srgbClr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38000038177048406"/>
          <c:y val="0.91818468146027199"/>
          <c:w val="0.31636382724888568"/>
          <c:h val="7.2727590869328382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L"/>
    </a:p>
  </c:txPr>
  <c:printSettings>
    <c:headerFooter alignWithMargins="0"/>
    <c:pageMargins b="1" l="0.75000000000001465" r="0.75000000000001465" t="1" header="0" footer="0"/>
    <c:pageSetup orientation="landscape" horizontalDpi="300" verticalDpi="300"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FF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Prevención odontológica en  menores  de  20 años
Servicio  Salud  Aconcagua 2008 - 2013</a:t>
            </a:r>
          </a:p>
        </c:rich>
      </c:tx>
      <c:layout>
        <c:manualLayout>
          <c:xMode val="edge"/>
          <c:yMode val="edge"/>
          <c:x val="0.13654639555598702"/>
          <c:y val="3.583061889250815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41787544293471"/>
          <c:y val="0.257329399508537"/>
          <c:w val="0.86747158060284224"/>
          <c:h val="0.6416948316859048"/>
        </c:manualLayout>
      </c:layout>
      <c:lineChart>
        <c:grouping val="standard"/>
        <c:varyColors val="0"/>
        <c:ser>
          <c:idx val="5"/>
          <c:order val="0"/>
          <c:tx>
            <c:v>Tasa</c:v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dot"/>
            <c:size val="7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'75'!$C$60:$H$60</c:f>
              <c:numCache>
                <c:formatCode>General</c:formatCode>
                <c:ptCount val="6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</c:numCache>
            </c:numRef>
          </c:cat>
          <c:val>
            <c:numRef>
              <c:f>'75'!$C$78:$H$78</c:f>
              <c:numCache>
                <c:formatCode>0.00</c:formatCode>
                <c:ptCount val="6"/>
                <c:pt idx="0">
                  <c:v>62.064103192898138</c:v>
                </c:pt>
                <c:pt idx="1">
                  <c:v>63.806930876030208</c:v>
                </c:pt>
                <c:pt idx="2">
                  <c:v>76.962799682979991</c:v>
                </c:pt>
                <c:pt idx="3">
                  <c:v>88.759752622475517</c:v>
                </c:pt>
                <c:pt idx="4">
                  <c:v>93.189125620847975</c:v>
                </c:pt>
                <c:pt idx="5">
                  <c:v>86.860046793630033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7185976"/>
        <c:axId val="337186368"/>
      </c:lineChart>
      <c:catAx>
        <c:axId val="337185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L"/>
          </a:p>
        </c:txPr>
        <c:crossAx val="3371863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37186368"/>
        <c:scaling>
          <c:orientation val="minMax"/>
          <c:min val="58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L"/>
          </a:p>
        </c:txPr>
        <c:crossAx val="337185976"/>
        <c:crosses val="autoZero"/>
        <c:crossBetween val="between"/>
      </c:valAx>
      <c:spPr>
        <a:gradFill rotWithShape="0">
          <a:gsLst>
            <a:gs pos="0">
              <a:srgbClr val="C0C0C0"/>
            </a:gs>
            <a:gs pos="100000">
              <a:srgbClr val="C0C0C0">
                <a:gamma/>
                <a:tint val="6275"/>
                <a:invGamma/>
              </a:srgbClr>
            </a:gs>
          </a:gsLst>
          <a:lin ang="5400000" scaled="1"/>
        </a:gradFill>
        <a:ln w="12700">
          <a:solidFill>
            <a:srgbClr val="C0C0C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L"/>
    </a:p>
  </c:txPr>
  <c:printSettings>
    <c:headerFooter alignWithMargins="0"/>
    <c:pageMargins b="1" l="0.75000000000001465" r="0.75000000000001465" t="1" header="0" footer="0"/>
    <c:pageSetup paperSize="5" orientation="landscape" horizontalDpi="300" verticalDpi="300"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FF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Prevención odontológica en  menores  de  20 años
Servicio  Salud  Aconcagua 2009 - 2014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5"/>
          <c:order val="0"/>
          <c:tx>
            <c:v>Tasa</c:v>
          </c:tx>
          <c:spPr>
            <a:ln w="25400" cap="flat">
              <a:solidFill>
                <a:srgbClr val="0000FF"/>
              </a:solidFill>
              <a:prstDash val="solid"/>
            </a:ln>
          </c:spPr>
          <c:marker>
            <c:symbol val="none"/>
          </c:marker>
          <c:cat>
            <c:numRef>
              <c:f>'75'!$C$60:$H$60</c:f>
              <c:numCache>
                <c:formatCode>General</c:formatCode>
                <c:ptCount val="6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</c:numCache>
            </c:numRef>
          </c:cat>
          <c:val>
            <c:numRef>
              <c:f>'75'!$C$78:$H$78</c:f>
              <c:numCache>
                <c:formatCode>0.00</c:formatCode>
                <c:ptCount val="6"/>
                <c:pt idx="0">
                  <c:v>62.064103192898138</c:v>
                </c:pt>
                <c:pt idx="1">
                  <c:v>63.806930876030208</c:v>
                </c:pt>
                <c:pt idx="2">
                  <c:v>76.962799682979991</c:v>
                </c:pt>
                <c:pt idx="3">
                  <c:v>88.759752622475517</c:v>
                </c:pt>
                <c:pt idx="4">
                  <c:v>93.189125620847975</c:v>
                </c:pt>
                <c:pt idx="5">
                  <c:v>86.860046793630033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8510128"/>
        <c:axId val="338510520"/>
      </c:lineChart>
      <c:catAx>
        <c:axId val="3385101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L"/>
          </a:p>
        </c:txPr>
        <c:crossAx val="3385105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38510520"/>
        <c:scaling>
          <c:orientation val="minMax"/>
          <c:min val="58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0" sourceLinked="1"/>
        <c:majorTickMark val="none"/>
        <c:minorTickMark val="none"/>
        <c:tickLblPos val="nextTo"/>
        <c:spPr>
          <a:ln w="25400">
            <a:noFill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L"/>
          </a:p>
        </c:txPr>
        <c:crossAx val="338510128"/>
        <c:crosses val="autoZero"/>
        <c:crossBetween val="between"/>
      </c:valAx>
      <c:spPr>
        <a:gradFill rotWithShape="0">
          <a:gsLst>
            <a:gs pos="0">
              <a:srgbClr val="C0C0C0"/>
            </a:gs>
            <a:gs pos="100000">
              <a:srgbClr val="C0C0C0">
                <a:gamma/>
                <a:tint val="6275"/>
                <a:invGamma/>
              </a:srgbClr>
            </a:gs>
          </a:gsLst>
          <a:lin ang="5400000" scaled="1"/>
        </a:gradFill>
        <a:ln w="12700">
          <a:solidFill>
            <a:srgbClr val="C0C0C0"/>
          </a:solidFill>
          <a:prstDash val="solid"/>
        </a:ln>
      </c:spPr>
    </c:plotArea>
    <c:legend>
      <c:legendPos val="b"/>
      <c:overlay val="0"/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L"/>
    </a:p>
  </c:txPr>
  <c:printSettings>
    <c:headerFooter alignWithMargins="0"/>
    <c:pageMargins b="1" l="0.75000000000001465" r="0.75000000000001465" t="1" header="0" footer="0"/>
    <c:pageSetup paperSize="5" orientation="landscape" horizontalDpi="300" verticalDpi="300"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PORCENTAJE DE CONS. MEDICAS DE URGENCIA
 SEGUN PROGRAMA  AÑO 2014</a:t>
            </a:r>
          </a:p>
        </c:rich>
      </c:tx>
      <c:layout>
        <c:manualLayout>
          <c:xMode val="edge"/>
          <c:yMode val="edge"/>
          <c:x val="0.17309213271418294"/>
          <c:y val="3.3426041043115223E-2"/>
        </c:manualLayout>
      </c:layout>
      <c:overlay val="0"/>
      <c:spPr>
        <a:gradFill rotWithShape="0">
          <a:gsLst>
            <a:gs pos="0">
              <a:srgbClr val="C0C0C0"/>
            </a:gs>
            <a:gs pos="100000">
              <a:srgbClr val="C0C0C0">
                <a:gamma/>
                <a:tint val="0"/>
                <a:invGamma/>
              </a:srgbClr>
            </a:gs>
          </a:gsLst>
          <a:lin ang="5400000" scaled="1"/>
        </a:gradFill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1909212283045452"/>
          <c:y val="0.42618384401114207"/>
          <c:w val="0.36181575433912438"/>
          <c:h val="0.36768802228413355"/>
        </c:manualLayout>
      </c:layout>
      <c:pie3DChart>
        <c:varyColors val="1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explosion val="25"/>
          <c:dPt>
            <c:idx val="1"/>
            <c:bubble3D val="0"/>
            <c:spPr>
              <a:solidFill>
                <a:srgbClr val="80206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bubble3D val="0"/>
            <c:spPr>
              <a:solidFill>
                <a:srgbClr val="FFFFC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bubble3D val="0"/>
            <c:spPr>
              <a:solidFill>
                <a:srgbClr val="A0E0E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bubble3D val="0"/>
            <c:spPr>
              <a:solidFill>
                <a:srgbClr val="60008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Lbls>
            <c:numFmt formatCode="0%" sourceLinked="0"/>
            <c:spPr>
              <a:solidFill>
                <a:srgbClr val="FF0000"/>
              </a:solidFill>
              <a:ln w="25400">
                <a:noFill/>
              </a:ln>
            </c:spPr>
            <c:txPr>
              <a:bodyPr/>
              <a:lstStyle/>
              <a:p>
                <a:pPr algn="ctr" rtl="1">
                  <a:defRPr sz="950" b="1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s-CL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'76'!$B$38:$B$42</c:f>
              <c:strCache>
                <c:ptCount val="5"/>
                <c:pt idx="0">
                  <c:v> INFANTIL</c:v>
                </c:pt>
                <c:pt idx="1">
                  <c:v> ADOLESCENTE</c:v>
                </c:pt>
                <c:pt idx="2">
                  <c:v> MUJER</c:v>
                </c:pt>
                <c:pt idx="3">
                  <c:v> ADULTO</c:v>
                </c:pt>
                <c:pt idx="4">
                  <c:v> ADULTO MAYOR</c:v>
                </c:pt>
              </c:strCache>
            </c:strRef>
          </c:cat>
          <c:val>
            <c:numRef>
              <c:f>'76'!$K$38:$K$42</c:f>
              <c:numCache>
                <c:formatCode>#,##0</c:formatCode>
                <c:ptCount val="5"/>
                <c:pt idx="0">
                  <c:v>81369</c:v>
                </c:pt>
                <c:pt idx="1">
                  <c:v>51440</c:v>
                </c:pt>
                <c:pt idx="2">
                  <c:v>19753</c:v>
                </c:pt>
                <c:pt idx="3">
                  <c:v>155990</c:v>
                </c:pt>
                <c:pt idx="4">
                  <c:v>41373</c:v>
                </c:pt>
              </c:numCache>
            </c:numRef>
          </c:val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gradFill rotWithShape="0">
      <a:gsLst>
        <a:gs pos="0">
          <a:srgbClr val="C0C0C0"/>
        </a:gs>
        <a:gs pos="100000">
          <a:srgbClr val="C0C0C0">
            <a:gamma/>
            <a:tint val="0"/>
            <a:invGamma/>
          </a:srgbClr>
        </a:gs>
      </a:gsLst>
      <a:lin ang="5400000" scaled="1"/>
    </a:gra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L"/>
    </a:p>
  </c:txPr>
  <c:printSettings>
    <c:headerFooter alignWithMargins="0"/>
    <c:pageMargins b="1" l="0.75000000000001465" r="0.75000000000001465" t="1" header="0" footer="0"/>
    <c:pageSetup paperSize="9" orientation="landscape" horizontalDpi="300" verticalDpi="300"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1" u="none" strike="noStrike" baseline="0">
                <a:solidFill>
                  <a:srgbClr val="FF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INDICE DE CONS. MEDICA  URGENCIA SEGUN PROGRAMA</a:t>
            </a:r>
          </a:p>
        </c:rich>
      </c:tx>
      <c:layout>
        <c:manualLayout>
          <c:xMode val="edge"/>
          <c:yMode val="edge"/>
          <c:x val="0.16759776536312848"/>
          <c:y val="3.037383177570105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4022346368715089E-2"/>
          <c:y val="0.16588785046728971"/>
          <c:w val="0.90502793296090001"/>
          <c:h val="0.66588785046731658"/>
        </c:manualLayout>
      </c:layout>
      <c:lineChart>
        <c:grouping val="standard"/>
        <c:varyColors val="0"/>
        <c:ser>
          <c:idx val="0"/>
          <c:order val="0"/>
          <c:tx>
            <c:v>INFANTIL</c:v>
          </c:tx>
          <c:spPr>
            <a:ln w="381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numRef>
              <c:f>'77'!$L$7:$P$7</c:f>
              <c:numCache>
                <c:formatCode>General</c:formatCod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numCache>
            </c:numRef>
          </c:cat>
          <c:val>
            <c:numRef>
              <c:f>'77'!$L$8:$P$8</c:f>
              <c:numCache>
                <c:formatCode>#,##0.00</c:formatCode>
                <c:ptCount val="5"/>
                <c:pt idx="0">
                  <c:v>2.0231267583821593</c:v>
                </c:pt>
                <c:pt idx="1">
                  <c:v>2.0548128342245988</c:v>
                </c:pt>
                <c:pt idx="2">
                  <c:v>2.1483122470931724</c:v>
                </c:pt>
                <c:pt idx="3">
                  <c:v>2.1299423498801082</c:v>
                </c:pt>
                <c:pt idx="4">
                  <c:v>1.9958584241685087</c:v>
                </c:pt>
              </c:numCache>
            </c:numRef>
          </c:val>
          <c:smooth val="0"/>
        </c:ser>
        <c:ser>
          <c:idx val="1"/>
          <c:order val="1"/>
          <c:tx>
            <c:v>ADOLESCENTE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'77'!$L$7:$P$7</c:f>
              <c:numCache>
                <c:formatCode>General</c:formatCod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numCache>
            </c:numRef>
          </c:cat>
          <c:val>
            <c:numRef>
              <c:f>'77'!$L$9:$P$9</c:f>
              <c:numCache>
                <c:formatCode>#,##0.00</c:formatCode>
                <c:ptCount val="5"/>
                <c:pt idx="0">
                  <c:v>1.2206345252383433</c:v>
                </c:pt>
                <c:pt idx="1">
                  <c:v>1.2325720188224492</c:v>
                </c:pt>
                <c:pt idx="2">
                  <c:v>1.3320377955687954</c:v>
                </c:pt>
                <c:pt idx="3">
                  <c:v>1.2680164236160272</c:v>
                </c:pt>
                <c:pt idx="4">
                  <c:v>1.2019242275566617</c:v>
                </c:pt>
              </c:numCache>
            </c:numRef>
          </c:val>
          <c:smooth val="0"/>
        </c:ser>
        <c:ser>
          <c:idx val="3"/>
          <c:order val="2"/>
          <c:tx>
            <c:v>ADULTO</c:v>
          </c:tx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cat>
            <c:numRef>
              <c:f>'77'!$L$7:$P$7</c:f>
              <c:numCache>
                <c:formatCode>General</c:formatCod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numCache>
            </c:numRef>
          </c:cat>
          <c:val>
            <c:numRef>
              <c:f>'77'!$L$11:$P$11</c:f>
              <c:numCache>
                <c:formatCode>#,##0.00</c:formatCode>
                <c:ptCount val="5"/>
                <c:pt idx="0">
                  <c:v>0.95016983120990095</c:v>
                </c:pt>
                <c:pt idx="1">
                  <c:v>0.98244298296219379</c:v>
                </c:pt>
                <c:pt idx="2">
                  <c:v>1.0464599254721152</c:v>
                </c:pt>
                <c:pt idx="3">
                  <c:v>0.98000112038541254</c:v>
                </c:pt>
                <c:pt idx="4">
                  <c:v>0.92511626765489063</c:v>
                </c:pt>
              </c:numCache>
            </c:numRef>
          </c:val>
          <c:smooth val="0"/>
        </c:ser>
        <c:ser>
          <c:idx val="4"/>
          <c:order val="3"/>
          <c:tx>
            <c:v>TOTAL</c:v>
          </c:tx>
          <c:spPr>
            <a:ln w="25400">
              <a:solidFill>
                <a:srgbClr val="333300"/>
              </a:solidFill>
              <a:prstDash val="solid"/>
            </a:ln>
          </c:spPr>
          <c:marker>
            <c:symbol val="none"/>
          </c:marker>
          <c:cat>
            <c:numRef>
              <c:f>'77'!$L$7:$P$7</c:f>
              <c:numCache>
                <c:formatCode>General</c:formatCod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numCache>
            </c:numRef>
          </c:cat>
          <c:val>
            <c:numRef>
              <c:f>'77'!$L$13:$P$13</c:f>
              <c:numCache>
                <c:formatCode>#,##0.00</c:formatCode>
                <c:ptCount val="5"/>
                <c:pt idx="0">
                  <c:v>1.2581629341123013</c:v>
                </c:pt>
                <c:pt idx="1">
                  <c:v>1.2766608028629456</c:v>
                </c:pt>
                <c:pt idx="2">
                  <c:v>1.3485024933560275</c:v>
                </c:pt>
                <c:pt idx="3">
                  <c:v>1.2934411526977601</c:v>
                </c:pt>
                <c:pt idx="4">
                  <c:v>1.2311145827249899</c:v>
                </c:pt>
              </c:numCache>
            </c:numRef>
          </c:val>
          <c:smooth val="0"/>
        </c:ser>
        <c:ser>
          <c:idx val="2"/>
          <c:order val="4"/>
          <c:tx>
            <c:v>ADULTO  M.</c:v>
          </c:tx>
          <c:spPr>
            <a:ln w="25400">
              <a:solidFill>
                <a:srgbClr val="336666"/>
              </a:solidFill>
              <a:prstDash val="solid"/>
            </a:ln>
          </c:spPr>
          <c:marker>
            <c:symbol val="none"/>
          </c:marker>
          <c:val>
            <c:numRef>
              <c:f>'77'!$L$12:$P$12</c:f>
              <c:numCache>
                <c:formatCode>#,##0.00</c:formatCode>
                <c:ptCount val="5"/>
                <c:pt idx="0">
                  <c:v>1.3135449191731552</c:v>
                </c:pt>
                <c:pt idx="1">
                  <c:v>1.2652543975789672</c:v>
                </c:pt>
                <c:pt idx="2">
                  <c:v>1.3305281485780616</c:v>
                </c:pt>
                <c:pt idx="3">
                  <c:v>1.2789466350842971</c:v>
                </c:pt>
                <c:pt idx="4">
                  <c:v>1.2727364117686482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8511696"/>
        <c:axId val="338512088"/>
      </c:lineChart>
      <c:catAx>
        <c:axId val="3385116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1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L"/>
          </a:p>
        </c:txPr>
        <c:crossAx val="3385120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38512088"/>
        <c:scaling>
          <c:orientation val="minMax"/>
          <c:max val="2.25"/>
          <c:min val="0.75000000000001465"/>
        </c:scaling>
        <c:delete val="0"/>
        <c:axPos val="l"/>
        <c:majorGridlines>
          <c:spPr>
            <a:ln w="12700">
              <a:solidFill>
                <a:srgbClr val="FF0000"/>
              </a:solidFill>
              <a:prstDash val="solid"/>
            </a:ln>
          </c:spPr>
        </c:majorGridlines>
        <c:numFmt formatCode="#,##0.00" sourceLinked="1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1" i="1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L"/>
          </a:p>
        </c:txPr>
        <c:crossAx val="338511696"/>
        <c:crosses val="autoZero"/>
        <c:crossBetween val="between"/>
        <c:majorUnit val="0.25"/>
      </c:valAx>
      <c:spPr>
        <a:gradFill rotWithShape="0">
          <a:gsLst>
            <a:gs pos="0">
              <a:srgbClr val="C0C0C0"/>
            </a:gs>
            <a:gs pos="100000">
              <a:srgbClr val="C0C0C0">
                <a:gamma/>
                <a:tint val="0"/>
                <a:invGamma/>
              </a:srgbClr>
            </a:gs>
          </a:gsLst>
          <a:lin ang="5400000" scaled="1"/>
        </a:gradFill>
        <a:ln w="25400">
          <a:noFill/>
        </a:ln>
      </c:spPr>
    </c:plotArea>
    <c:legend>
      <c:legendPos val="b"/>
      <c:layout>
        <c:manualLayout>
          <c:xMode val="edge"/>
          <c:yMode val="edge"/>
          <c:x val="0.16061452513966482"/>
          <c:y val="0.92990654205607481"/>
          <c:w val="0.7192737430167595"/>
          <c:h val="5.6074766355139763E-2"/>
        </c:manualLayout>
      </c:layout>
      <c:overlay val="0"/>
      <c:spPr>
        <a:noFill/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90" b="1" i="1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L"/>
    </a:p>
  </c:txPr>
  <c:printSettings>
    <c:headerFooter alignWithMargins="0"/>
    <c:pageMargins b="1" l="0.75000000000001465" r="0.75000000000001465" t="1" header="0" footer="0"/>
    <c:pageSetup orientation="landscape" horizontalDpi="300" verticalDpi="300"/>
  </c:printSettings>
  <c:userShapes r:id="rId1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1" u="none" strike="noStrike" baseline="0">
                <a:solidFill>
                  <a:srgbClr val="FF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INDICE DE CONS. MEDICA  URGENCIA SEGUN PROGRAMA</a:t>
            </a:r>
          </a:p>
        </c:rich>
      </c:tx>
      <c:layout>
        <c:manualLayout>
          <c:xMode val="edge"/>
          <c:yMode val="edge"/>
          <c:x val="0.16759776536312848"/>
          <c:y val="3.037383177570105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4022346368715089E-2"/>
          <c:y val="0.16588785046728971"/>
          <c:w val="0.90502793296090001"/>
          <c:h val="0.66588785046731658"/>
        </c:manualLayout>
      </c:layout>
      <c:lineChart>
        <c:grouping val="standard"/>
        <c:varyColors val="0"/>
        <c:ser>
          <c:idx val="0"/>
          <c:order val="0"/>
          <c:tx>
            <c:v>INFANTIL</c:v>
          </c:tx>
          <c:spPr>
            <a:ln w="381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numRef>
              <c:f>'77'!$L$7:$P$7</c:f>
              <c:numCache>
                <c:formatCode>General</c:formatCod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numCache>
            </c:numRef>
          </c:cat>
          <c:val>
            <c:numRef>
              <c:f>'77'!$L$8:$P$8</c:f>
              <c:numCache>
                <c:formatCode>#,##0.00</c:formatCode>
                <c:ptCount val="5"/>
                <c:pt idx="0">
                  <c:v>2.0231267583821593</c:v>
                </c:pt>
                <c:pt idx="1">
                  <c:v>2.0548128342245988</c:v>
                </c:pt>
                <c:pt idx="2">
                  <c:v>2.1483122470931724</c:v>
                </c:pt>
                <c:pt idx="3">
                  <c:v>2.1299423498801082</c:v>
                </c:pt>
                <c:pt idx="4">
                  <c:v>1.9958584241685087</c:v>
                </c:pt>
              </c:numCache>
            </c:numRef>
          </c:val>
          <c:smooth val="0"/>
        </c:ser>
        <c:ser>
          <c:idx val="1"/>
          <c:order val="1"/>
          <c:tx>
            <c:v>ADOLESCENTE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'77'!$L$7:$P$7</c:f>
              <c:numCache>
                <c:formatCode>General</c:formatCod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numCache>
            </c:numRef>
          </c:cat>
          <c:val>
            <c:numRef>
              <c:f>'77'!$L$9:$P$9</c:f>
              <c:numCache>
                <c:formatCode>#,##0.00</c:formatCode>
                <c:ptCount val="5"/>
                <c:pt idx="0">
                  <c:v>1.2206345252383433</c:v>
                </c:pt>
                <c:pt idx="1">
                  <c:v>1.2325720188224492</c:v>
                </c:pt>
                <c:pt idx="2">
                  <c:v>1.3320377955687954</c:v>
                </c:pt>
                <c:pt idx="3">
                  <c:v>1.2680164236160272</c:v>
                </c:pt>
                <c:pt idx="4">
                  <c:v>1.2019242275566617</c:v>
                </c:pt>
              </c:numCache>
            </c:numRef>
          </c:val>
          <c:smooth val="0"/>
        </c:ser>
        <c:ser>
          <c:idx val="3"/>
          <c:order val="2"/>
          <c:tx>
            <c:v>ADULTO</c:v>
          </c:tx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cat>
            <c:numRef>
              <c:f>'77'!$L$7:$P$7</c:f>
              <c:numCache>
                <c:formatCode>General</c:formatCod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numCache>
            </c:numRef>
          </c:cat>
          <c:val>
            <c:numRef>
              <c:f>'77'!$L$11:$P$11</c:f>
              <c:numCache>
                <c:formatCode>#,##0.00</c:formatCode>
                <c:ptCount val="5"/>
                <c:pt idx="0">
                  <c:v>0.95016983120990095</c:v>
                </c:pt>
                <c:pt idx="1">
                  <c:v>0.98244298296219379</c:v>
                </c:pt>
                <c:pt idx="2">
                  <c:v>1.0464599254721152</c:v>
                </c:pt>
                <c:pt idx="3">
                  <c:v>0.98000112038541254</c:v>
                </c:pt>
                <c:pt idx="4">
                  <c:v>0.92511626765489063</c:v>
                </c:pt>
              </c:numCache>
            </c:numRef>
          </c:val>
          <c:smooth val="0"/>
        </c:ser>
        <c:ser>
          <c:idx val="4"/>
          <c:order val="3"/>
          <c:tx>
            <c:v>TOTAL</c:v>
          </c:tx>
          <c:spPr>
            <a:ln w="25400">
              <a:solidFill>
                <a:srgbClr val="333300"/>
              </a:solidFill>
              <a:prstDash val="solid"/>
            </a:ln>
          </c:spPr>
          <c:marker>
            <c:symbol val="none"/>
          </c:marker>
          <c:cat>
            <c:numRef>
              <c:f>'77'!$L$7:$P$7</c:f>
              <c:numCache>
                <c:formatCode>General</c:formatCod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numCache>
            </c:numRef>
          </c:cat>
          <c:val>
            <c:numRef>
              <c:f>'77'!$L$13:$P$13</c:f>
              <c:numCache>
                <c:formatCode>#,##0.00</c:formatCode>
                <c:ptCount val="5"/>
                <c:pt idx="0">
                  <c:v>1.2581629341123013</c:v>
                </c:pt>
                <c:pt idx="1">
                  <c:v>1.2766608028629456</c:v>
                </c:pt>
                <c:pt idx="2">
                  <c:v>1.3485024933560275</c:v>
                </c:pt>
                <c:pt idx="3">
                  <c:v>1.2934411526977601</c:v>
                </c:pt>
                <c:pt idx="4">
                  <c:v>1.2311145827249899</c:v>
                </c:pt>
              </c:numCache>
            </c:numRef>
          </c:val>
          <c:smooth val="0"/>
        </c:ser>
        <c:ser>
          <c:idx val="2"/>
          <c:order val="4"/>
          <c:tx>
            <c:v>ADULTO  M.</c:v>
          </c:tx>
          <c:spPr>
            <a:ln w="25400">
              <a:solidFill>
                <a:srgbClr val="336666"/>
              </a:solidFill>
              <a:prstDash val="solid"/>
            </a:ln>
          </c:spPr>
          <c:marker>
            <c:symbol val="none"/>
          </c:marker>
          <c:val>
            <c:numRef>
              <c:f>'77'!$L$12:$P$12</c:f>
              <c:numCache>
                <c:formatCode>#,##0.00</c:formatCode>
                <c:ptCount val="5"/>
                <c:pt idx="0">
                  <c:v>1.3135449191731552</c:v>
                </c:pt>
                <c:pt idx="1">
                  <c:v>1.2652543975789672</c:v>
                </c:pt>
                <c:pt idx="2">
                  <c:v>1.3305281485780616</c:v>
                </c:pt>
                <c:pt idx="3">
                  <c:v>1.2789466350842971</c:v>
                </c:pt>
                <c:pt idx="4">
                  <c:v>1.2727364117686482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8512872"/>
        <c:axId val="338513264"/>
      </c:lineChart>
      <c:catAx>
        <c:axId val="3385128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1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L"/>
          </a:p>
        </c:txPr>
        <c:crossAx val="3385132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38513264"/>
        <c:scaling>
          <c:orientation val="minMax"/>
          <c:max val="2.25"/>
          <c:min val="0.9"/>
        </c:scaling>
        <c:delete val="0"/>
        <c:axPos val="l"/>
        <c:majorGridlines>
          <c:spPr>
            <a:ln w="12700">
              <a:solidFill>
                <a:srgbClr val="FF0000"/>
              </a:solidFill>
              <a:prstDash val="solid"/>
            </a:ln>
          </c:spPr>
        </c:majorGridlines>
        <c:numFmt formatCode="#,##0.00" sourceLinked="1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1" i="1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L"/>
          </a:p>
        </c:txPr>
        <c:crossAx val="338512872"/>
        <c:crosses val="autoZero"/>
        <c:crossBetween val="between"/>
        <c:majorUnit val="0.25"/>
      </c:valAx>
      <c:spPr>
        <a:gradFill rotWithShape="0">
          <a:gsLst>
            <a:gs pos="0">
              <a:srgbClr val="C0C0C0"/>
            </a:gs>
            <a:gs pos="100000">
              <a:srgbClr val="C0C0C0">
                <a:gamma/>
                <a:tint val="0"/>
                <a:invGamma/>
              </a:srgbClr>
            </a:gs>
          </a:gsLst>
          <a:lin ang="5400000" scaled="1"/>
        </a:gradFill>
        <a:ln w="25400">
          <a:noFill/>
        </a:ln>
      </c:spPr>
    </c:plotArea>
    <c:legend>
      <c:legendPos val="b"/>
      <c:layout>
        <c:manualLayout>
          <c:xMode val="edge"/>
          <c:yMode val="edge"/>
          <c:x val="0.16061452513966482"/>
          <c:y val="0.92990654205607481"/>
          <c:w val="0.7192737430167595"/>
          <c:h val="5.6074766355139763E-2"/>
        </c:manualLayout>
      </c:layout>
      <c:overlay val="0"/>
      <c:spPr>
        <a:noFill/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90" b="1" i="1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L"/>
    </a:p>
  </c:txPr>
  <c:printSettings>
    <c:headerFooter alignWithMargins="0"/>
    <c:pageMargins b="1" l="0.75000000000001465" r="0.75000000000001465" t="1" header="0" footer="0"/>
    <c:pageSetup orientation="landscape" horizontalDpi="300" verticalDpi="300"/>
  </c:printSettings>
  <c:userShapes r:id="rId1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333399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TENDENCIA CONS. MEDICAS DE URGENCIA HOSP. TIPO 2
 SERVICIO DE SALUD ACONCAGUA</a:t>
            </a:r>
          </a:p>
        </c:rich>
      </c:tx>
      <c:layout>
        <c:manualLayout>
          <c:xMode val="edge"/>
          <c:yMode val="edge"/>
          <c:x val="0.16666710411198601"/>
          <c:y val="3.96825396825396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375029246071871"/>
          <c:y val="0.20238173666037584"/>
          <c:w val="0.83541836632968414"/>
          <c:h val="0.59127213259599998"/>
        </c:manualLayout>
      </c:layout>
      <c:lineChart>
        <c:grouping val="standard"/>
        <c:varyColors val="0"/>
        <c:ser>
          <c:idx val="1"/>
          <c:order val="0"/>
          <c:tx>
            <c:v>H.SAN CAMILO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'78'!$B$7:$G$7</c:f>
              <c:numCache>
                <c:formatCode>General</c:formatCode>
                <c:ptCount val="6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</c:numCache>
            </c:numRef>
          </c:cat>
          <c:val>
            <c:numRef>
              <c:f>'78'!$B$8:$G$8</c:f>
              <c:numCache>
                <c:formatCode>#,##0</c:formatCode>
                <c:ptCount val="6"/>
                <c:pt idx="0">
                  <c:v>84885</c:v>
                </c:pt>
                <c:pt idx="1">
                  <c:v>73927</c:v>
                </c:pt>
                <c:pt idx="2">
                  <c:v>73993</c:v>
                </c:pt>
                <c:pt idx="3">
                  <c:v>81333</c:v>
                </c:pt>
                <c:pt idx="4">
                  <c:v>78294</c:v>
                </c:pt>
                <c:pt idx="5">
                  <c:v>80758</c:v>
                </c:pt>
              </c:numCache>
            </c:numRef>
          </c:val>
          <c:smooth val="0"/>
        </c:ser>
        <c:ser>
          <c:idx val="2"/>
          <c:order val="1"/>
          <c:tx>
            <c:v>H. LOS ANDES</c:v>
          </c:tx>
          <c:spPr>
            <a:ln w="38100">
              <a:solidFill>
                <a:srgbClr val="333399"/>
              </a:solidFill>
              <a:prstDash val="solid"/>
            </a:ln>
          </c:spPr>
          <c:marker>
            <c:symbol val="none"/>
          </c:marker>
          <c:cat>
            <c:numRef>
              <c:f>'78'!$B$7:$G$7</c:f>
              <c:numCache>
                <c:formatCode>General</c:formatCode>
                <c:ptCount val="6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</c:numCache>
            </c:numRef>
          </c:cat>
          <c:val>
            <c:numRef>
              <c:f>'78'!$B$9:$G$9</c:f>
              <c:numCache>
                <c:formatCode>#,##0</c:formatCode>
                <c:ptCount val="6"/>
                <c:pt idx="0">
                  <c:v>100404</c:v>
                </c:pt>
                <c:pt idx="1">
                  <c:v>103552</c:v>
                </c:pt>
                <c:pt idx="2">
                  <c:v>100835</c:v>
                </c:pt>
                <c:pt idx="3">
                  <c:v>97908</c:v>
                </c:pt>
                <c:pt idx="4">
                  <c:v>96920</c:v>
                </c:pt>
                <c:pt idx="5">
                  <c:v>88207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4295856"/>
        <c:axId val="334296248"/>
      </c:lineChart>
      <c:catAx>
        <c:axId val="33429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L"/>
          </a:p>
        </c:txPr>
        <c:crossAx val="33429624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34296248"/>
        <c:scaling>
          <c:orientation val="minMax"/>
          <c:max val="130000"/>
          <c:min val="70000"/>
        </c:scaling>
        <c:delete val="0"/>
        <c:axPos val="l"/>
        <c:majorGridlines>
          <c:spPr>
            <a:ln w="12700">
              <a:solidFill>
                <a:srgbClr val="FF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L"/>
          </a:p>
        </c:txPr>
        <c:crossAx val="334295856"/>
        <c:crosses val="autoZero"/>
        <c:crossBetween val="between"/>
        <c:majorUnit val="10000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25416710411198579"/>
          <c:y val="0.92063867016622924"/>
          <c:w val="0.50208442694663158"/>
          <c:h val="6.7460734074907533E-2"/>
        </c:manualLayout>
      </c:layout>
      <c:overlay val="0"/>
      <c:spPr>
        <a:noFill/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L"/>
        </a:p>
      </c:txPr>
    </c:legend>
    <c:plotVisOnly val="1"/>
    <c:dispBlanksAs val="gap"/>
    <c:showDLblsOverMax val="0"/>
  </c:chart>
  <c:spPr>
    <a:gradFill rotWithShape="0">
      <a:gsLst>
        <a:gs pos="0">
          <a:srgbClr val="E3E3E3"/>
        </a:gs>
        <a:gs pos="100000">
          <a:srgbClr val="E3E3E3">
            <a:gamma/>
            <a:tint val="0"/>
            <a:invGamma/>
          </a:srgbClr>
        </a:gs>
      </a:gsLst>
      <a:lin ang="5400000" scaled="1"/>
    </a:gra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L"/>
    </a:p>
  </c:txPr>
  <c:printSettings>
    <c:headerFooter alignWithMargins="0"/>
    <c:pageMargins b="1" l="0.75000000000001465" r="0.75000000000001465" t="1" header="0" footer="0"/>
    <c:pageSetup paperSize="9" orientation="landscape" horizontalDpi="300" verticalDpi="300" copies="0"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PORCENTAJE DE CONS. SEGUN ESTABLECIMIENTOS
SERVICIO DE SALUD ACONCAGUA
AÑO 2013</a:t>
            </a:r>
          </a:p>
        </c:rich>
      </c:tx>
      <c:layout>
        <c:manualLayout>
          <c:xMode val="edge"/>
          <c:yMode val="edge"/>
          <c:x val="0.11464990443073596"/>
          <c:y val="3.3426183844011144E-2"/>
        </c:manualLayout>
      </c:layout>
      <c:overlay val="0"/>
      <c:spPr>
        <a:gradFill rotWithShape="0">
          <a:gsLst>
            <a:gs pos="0">
              <a:srgbClr val="C0C0C0"/>
            </a:gs>
            <a:gs pos="100000">
              <a:srgbClr val="C0C0C0">
                <a:gamma/>
                <a:tint val="0"/>
                <a:invGamma/>
              </a:srgbClr>
            </a:gs>
          </a:gsLst>
          <a:lin ang="5400000" scaled="1"/>
        </a:gradFill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5477759831475238"/>
          <c:y val="0.28969359331477607"/>
          <c:w val="0.49044687675591536"/>
          <c:h val="0.64345403899721454"/>
        </c:manualLayout>
      </c:layout>
      <c:pieChart>
        <c:varyColors val="1"/>
        <c:ser>
          <c:idx val="0"/>
          <c:order val="0"/>
          <c:spPr>
            <a:solidFill>
              <a:srgbClr val="69FFFF"/>
            </a:solidFill>
            <a:ln w="12700">
              <a:solidFill>
                <a:srgbClr val="000000"/>
              </a:solidFill>
              <a:prstDash val="solid"/>
            </a:ln>
          </c:spPr>
          <c:explosion val="25"/>
          <c:dLbls>
            <c:dLbl>
              <c:idx val="0"/>
              <c:layout>
                <c:manualLayout>
                  <c:x val="5.2837199979336247E-3"/>
                  <c:y val="3.0545624693849079E-3"/>
                </c:manualLayout>
              </c:layout>
              <c:tx>
                <c:rich>
                  <a:bodyPr/>
                  <a:lstStyle/>
                  <a:p>
                    <a:pPr>
                      <a:defRPr sz="700" b="1" i="0" u="none" strike="noStrike" baseline="0">
                        <a:solidFill>
                          <a:srgbClr val="FFFFFF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s-ES"/>
                      <a:t>H.SAN  FELIPE
25%</a:t>
                    </a:r>
                  </a:p>
                </c:rich>
              </c:tx>
              <c:spPr>
                <a:solidFill>
                  <a:srgbClr val="FF0000"/>
                </a:solidFill>
                <a:ln w="25400">
                  <a:noFill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4.6862007545592034E-2"/>
                  <c:y val="-9.9814152757367727E-2"/>
                </c:manualLayout>
              </c:layout>
              <c:tx>
                <c:rich>
                  <a:bodyPr/>
                  <a:lstStyle/>
                  <a:p>
                    <a:pPr>
                      <a:defRPr sz="700" b="1" i="0" u="none" strike="noStrike" baseline="0">
                        <a:solidFill>
                          <a:srgbClr val="FFFFFF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s-ES"/>
                      <a:t>H.LOS ANDES
29%</a:t>
                    </a:r>
                  </a:p>
                </c:rich>
              </c:tx>
              <c:spPr>
                <a:solidFill>
                  <a:srgbClr val="FF0000"/>
                </a:solidFill>
                <a:ln w="25400">
                  <a:noFill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773161384525301E-2"/>
                  <c:y val="9.8602855701535267E-3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1.2663996420676196E-2"/>
                  <c:y val="-3.4615547708347051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1.0998165585312141E-2"/>
                  <c:y val="6.4454338750833653E-4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%" sourceLinked="0"/>
            <c:spPr>
              <a:solidFill>
                <a:srgbClr val="FF0000"/>
              </a:solidFill>
              <a:ln w="25400">
                <a:noFill/>
              </a:ln>
            </c:spPr>
            <c:txPr>
              <a:bodyPr/>
              <a:lstStyle/>
              <a:p>
                <a:pPr algn="ctr" rtl="0">
                  <a:defRPr sz="700" b="1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s-CL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'78'!$J$8:$J$15</c:f>
              <c:strCache>
                <c:ptCount val="8"/>
                <c:pt idx="0">
                  <c:v>H.SAN CAMILO</c:v>
                </c:pt>
                <c:pt idx="1">
                  <c:v>H.LOS ANDES</c:v>
                </c:pt>
                <c:pt idx="2">
                  <c:v>H.LLAY-LLAY</c:v>
                </c:pt>
                <c:pt idx="3">
                  <c:v>H.PSIQ.</c:v>
                </c:pt>
                <c:pt idx="4">
                  <c:v>H.PUTAENDO</c:v>
                </c:pt>
                <c:pt idx="5">
                  <c:v>SAPU S.F.</c:v>
                </c:pt>
                <c:pt idx="6">
                  <c:v>SAPU L.A.</c:v>
                </c:pt>
                <c:pt idx="7">
                  <c:v>MUNIC.</c:v>
                </c:pt>
              </c:strCache>
            </c:strRef>
          </c:cat>
          <c:val>
            <c:numRef>
              <c:f>'78'!$G$8:$G$15</c:f>
              <c:numCache>
                <c:formatCode>#,##0</c:formatCode>
                <c:ptCount val="8"/>
                <c:pt idx="0">
                  <c:v>80758</c:v>
                </c:pt>
                <c:pt idx="1">
                  <c:v>88207</c:v>
                </c:pt>
                <c:pt idx="2">
                  <c:v>49742</c:v>
                </c:pt>
                <c:pt idx="3">
                  <c:v>3610</c:v>
                </c:pt>
                <c:pt idx="4">
                  <c:v>24735</c:v>
                </c:pt>
                <c:pt idx="5">
                  <c:v>27288</c:v>
                </c:pt>
                <c:pt idx="6">
                  <c:v>30851</c:v>
                </c:pt>
                <c:pt idx="7">
                  <c:v>32095</c:v>
                </c:pt>
              </c:numCache>
            </c:numRef>
          </c:val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0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gradFill rotWithShape="0">
      <a:gsLst>
        <a:gs pos="0">
          <a:srgbClr val="C0C0C0"/>
        </a:gs>
        <a:gs pos="100000">
          <a:srgbClr val="C0C0C0">
            <a:gamma/>
            <a:tint val="0"/>
            <a:invGamma/>
          </a:srgbClr>
        </a:gs>
      </a:gsLst>
      <a:lin ang="5400000" scaled="1"/>
    </a:gra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L"/>
    </a:p>
  </c:txPr>
  <c:printSettings>
    <c:headerFooter alignWithMargins="0"/>
    <c:pageMargins b="1" l="0.75000000000001465" r="0.75000000000001465" t="1" header="0" footer="0"/>
    <c:pageSetup paperSize="9" orientation="landscape" horizontalDpi="300" verticalDpi="300"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333399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TENDENCIA CONS. MEDICAS DE URGENCIA HOSP. TIPO 2
 SERVICIO DE SALUD ACONCAGUA</a:t>
            </a:r>
          </a:p>
        </c:rich>
      </c:tx>
      <c:layout>
        <c:manualLayout>
          <c:xMode val="edge"/>
          <c:yMode val="edge"/>
          <c:x val="0.16666710411198601"/>
          <c:y val="3.96825396825396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375029246071871"/>
          <c:y val="0.20238173666037584"/>
          <c:w val="0.83541836632968414"/>
          <c:h val="0.59127213259599998"/>
        </c:manualLayout>
      </c:layout>
      <c:lineChart>
        <c:grouping val="standard"/>
        <c:varyColors val="0"/>
        <c:ser>
          <c:idx val="1"/>
          <c:order val="0"/>
          <c:tx>
            <c:v>H.SAN CAMILO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'78'!$B$7:$G$7</c:f>
              <c:numCache>
                <c:formatCode>General</c:formatCode>
                <c:ptCount val="6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</c:numCache>
            </c:numRef>
          </c:cat>
          <c:val>
            <c:numRef>
              <c:f>'78'!$B$8:$G$8</c:f>
              <c:numCache>
                <c:formatCode>#,##0</c:formatCode>
                <c:ptCount val="6"/>
                <c:pt idx="0">
                  <c:v>84885</c:v>
                </c:pt>
                <c:pt idx="1">
                  <c:v>73927</c:v>
                </c:pt>
                <c:pt idx="2">
                  <c:v>73993</c:v>
                </c:pt>
                <c:pt idx="3">
                  <c:v>81333</c:v>
                </c:pt>
                <c:pt idx="4">
                  <c:v>78294</c:v>
                </c:pt>
                <c:pt idx="5">
                  <c:v>80758</c:v>
                </c:pt>
              </c:numCache>
            </c:numRef>
          </c:val>
          <c:smooth val="0"/>
        </c:ser>
        <c:ser>
          <c:idx val="2"/>
          <c:order val="1"/>
          <c:tx>
            <c:v>H. LOS ANDES</c:v>
          </c:tx>
          <c:spPr>
            <a:ln w="38100">
              <a:solidFill>
                <a:srgbClr val="333399"/>
              </a:solidFill>
              <a:prstDash val="solid"/>
            </a:ln>
          </c:spPr>
          <c:marker>
            <c:symbol val="none"/>
          </c:marker>
          <c:cat>
            <c:numRef>
              <c:f>'78'!$B$7:$G$7</c:f>
              <c:numCache>
                <c:formatCode>General</c:formatCode>
                <c:ptCount val="6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</c:numCache>
            </c:numRef>
          </c:cat>
          <c:val>
            <c:numRef>
              <c:f>'78'!$B$9:$G$9</c:f>
              <c:numCache>
                <c:formatCode>#,##0</c:formatCode>
                <c:ptCount val="6"/>
                <c:pt idx="0">
                  <c:v>100404</c:v>
                </c:pt>
                <c:pt idx="1">
                  <c:v>103552</c:v>
                </c:pt>
                <c:pt idx="2">
                  <c:v>100835</c:v>
                </c:pt>
                <c:pt idx="3">
                  <c:v>97908</c:v>
                </c:pt>
                <c:pt idx="4">
                  <c:v>96920</c:v>
                </c:pt>
                <c:pt idx="5">
                  <c:v>88207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4297424"/>
        <c:axId val="334297816"/>
      </c:lineChart>
      <c:catAx>
        <c:axId val="334297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L"/>
          </a:p>
        </c:txPr>
        <c:crossAx val="33429781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34297816"/>
        <c:scaling>
          <c:orientation val="minMax"/>
          <c:max val="130000"/>
          <c:min val="70000"/>
        </c:scaling>
        <c:delete val="0"/>
        <c:axPos val="l"/>
        <c:majorGridlines>
          <c:spPr>
            <a:ln w="12700">
              <a:solidFill>
                <a:srgbClr val="FF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L"/>
          </a:p>
        </c:txPr>
        <c:crossAx val="334297424"/>
        <c:crosses val="autoZero"/>
        <c:crossBetween val="between"/>
        <c:majorUnit val="10000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25416710411198579"/>
          <c:y val="0.92063867016622924"/>
          <c:w val="0.50208442694663158"/>
          <c:h val="6.7460734074907533E-2"/>
        </c:manualLayout>
      </c:layout>
      <c:overlay val="0"/>
      <c:spPr>
        <a:noFill/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L"/>
        </a:p>
      </c:txPr>
    </c:legend>
    <c:plotVisOnly val="1"/>
    <c:dispBlanksAs val="gap"/>
    <c:showDLblsOverMax val="0"/>
  </c:chart>
  <c:spPr>
    <a:gradFill rotWithShape="0">
      <a:gsLst>
        <a:gs pos="0">
          <a:srgbClr val="E3E3E3"/>
        </a:gs>
        <a:gs pos="100000">
          <a:srgbClr val="E3E3E3">
            <a:gamma/>
            <a:tint val="0"/>
            <a:invGamma/>
          </a:srgbClr>
        </a:gs>
      </a:gsLst>
      <a:lin ang="5400000" scaled="1"/>
    </a:gra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L"/>
    </a:p>
  </c:txPr>
  <c:printSettings>
    <c:headerFooter alignWithMargins="0"/>
    <c:pageMargins b="1" l="0.75000000000001465" r="0.75000000000001465" t="1" header="0" footer="0"/>
    <c:pageSetup paperSize="9" orientation="landscape" horizontalDpi="300" verticalDpi="300" copies="0"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PORCENTAJE DE CONS. SEGUN ESTABLECIMIENTOS
SERVICIO DE SALUD ACONCAGUA
AÑO 2014</a:t>
            </a:r>
          </a:p>
        </c:rich>
      </c:tx>
      <c:layout>
        <c:manualLayout>
          <c:xMode val="edge"/>
          <c:yMode val="edge"/>
          <c:x val="0.11464990443073596"/>
          <c:y val="3.3426183844011144E-2"/>
        </c:manualLayout>
      </c:layout>
      <c:overlay val="0"/>
      <c:spPr>
        <a:gradFill rotWithShape="0">
          <a:gsLst>
            <a:gs pos="0">
              <a:srgbClr val="C0C0C0"/>
            </a:gs>
            <a:gs pos="100000">
              <a:srgbClr val="C0C0C0">
                <a:gamma/>
                <a:tint val="0"/>
                <a:invGamma/>
              </a:srgbClr>
            </a:gs>
          </a:gsLst>
          <a:lin ang="5400000" scaled="1"/>
        </a:gradFill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5477759831475238"/>
          <c:y val="0.28969359331477607"/>
          <c:w val="0.49044687675591536"/>
          <c:h val="0.64345403899721454"/>
        </c:manualLayout>
      </c:layout>
      <c:pieChart>
        <c:varyColors val="1"/>
        <c:ser>
          <c:idx val="0"/>
          <c:order val="0"/>
          <c:spPr>
            <a:solidFill>
              <a:srgbClr val="69FFFF"/>
            </a:solidFill>
            <a:ln w="12700">
              <a:solidFill>
                <a:srgbClr val="000000"/>
              </a:solidFill>
              <a:prstDash val="solid"/>
            </a:ln>
          </c:spPr>
          <c:explosion val="25"/>
          <c:dLbls>
            <c:dLbl>
              <c:idx val="0"/>
              <c:layout>
                <c:manualLayout>
                  <c:x val="5.2837199979336247E-3"/>
                  <c:y val="3.0545624693849079E-3"/>
                </c:manualLayout>
              </c:layout>
              <c:tx>
                <c:rich>
                  <a:bodyPr/>
                  <a:lstStyle/>
                  <a:p>
                    <a:pPr>
                      <a:defRPr sz="700" b="1" i="0" u="none" strike="noStrike" baseline="0">
                        <a:solidFill>
                          <a:srgbClr val="FFFFFF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s-ES"/>
                      <a:t>H.SAN  FELIPE
25%</a:t>
                    </a:r>
                  </a:p>
                </c:rich>
              </c:tx>
              <c:spPr>
                <a:solidFill>
                  <a:srgbClr val="FF0000"/>
                </a:solidFill>
                <a:ln w="25400">
                  <a:noFill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4.6862007545592034E-2"/>
                  <c:y val="-9.9814152757367727E-2"/>
                </c:manualLayout>
              </c:layout>
              <c:tx>
                <c:rich>
                  <a:bodyPr/>
                  <a:lstStyle/>
                  <a:p>
                    <a:pPr>
                      <a:defRPr sz="700" b="1" i="0" u="none" strike="noStrike" baseline="0">
                        <a:solidFill>
                          <a:srgbClr val="FFFFFF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s-ES"/>
                      <a:t>H.LOS ANDES
29%</a:t>
                    </a:r>
                  </a:p>
                </c:rich>
              </c:tx>
              <c:spPr>
                <a:solidFill>
                  <a:srgbClr val="FF0000"/>
                </a:solidFill>
                <a:ln w="25400">
                  <a:noFill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773161384525301E-2"/>
                  <c:y val="9.8602855701535267E-3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1.2663996420676196E-2"/>
                  <c:y val="-3.4615547708347051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1.0998165585312141E-2"/>
                  <c:y val="6.4454338750833653E-4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%" sourceLinked="0"/>
            <c:spPr>
              <a:solidFill>
                <a:srgbClr val="FF0000"/>
              </a:solidFill>
              <a:ln w="25400">
                <a:noFill/>
              </a:ln>
            </c:spPr>
            <c:txPr>
              <a:bodyPr/>
              <a:lstStyle/>
              <a:p>
                <a:pPr algn="ctr" rtl="0">
                  <a:defRPr sz="700" b="1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s-CL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'78'!$J$8:$J$15</c:f>
              <c:strCache>
                <c:ptCount val="8"/>
                <c:pt idx="0">
                  <c:v>H.SAN CAMILO</c:v>
                </c:pt>
                <c:pt idx="1">
                  <c:v>H.LOS ANDES</c:v>
                </c:pt>
                <c:pt idx="2">
                  <c:v>H.LLAY-LLAY</c:v>
                </c:pt>
                <c:pt idx="3">
                  <c:v>H.PSIQ.</c:v>
                </c:pt>
                <c:pt idx="4">
                  <c:v>H.PUTAENDO</c:v>
                </c:pt>
                <c:pt idx="5">
                  <c:v>SAPU S.F.</c:v>
                </c:pt>
                <c:pt idx="6">
                  <c:v>SAPU L.A.</c:v>
                </c:pt>
                <c:pt idx="7">
                  <c:v>MUNIC.</c:v>
                </c:pt>
              </c:strCache>
            </c:strRef>
          </c:cat>
          <c:val>
            <c:numRef>
              <c:f>'78'!$G$8:$G$15</c:f>
              <c:numCache>
                <c:formatCode>#,##0</c:formatCode>
                <c:ptCount val="8"/>
                <c:pt idx="0">
                  <c:v>80758</c:v>
                </c:pt>
                <c:pt idx="1">
                  <c:v>88207</c:v>
                </c:pt>
                <c:pt idx="2">
                  <c:v>49742</c:v>
                </c:pt>
                <c:pt idx="3">
                  <c:v>3610</c:v>
                </c:pt>
                <c:pt idx="4">
                  <c:v>24735</c:v>
                </c:pt>
                <c:pt idx="5">
                  <c:v>27288</c:v>
                </c:pt>
                <c:pt idx="6">
                  <c:v>30851</c:v>
                </c:pt>
                <c:pt idx="7">
                  <c:v>32095</c:v>
                </c:pt>
              </c:numCache>
            </c:numRef>
          </c:val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0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gradFill rotWithShape="0">
      <a:gsLst>
        <a:gs pos="0">
          <a:srgbClr val="C0C0C0"/>
        </a:gs>
        <a:gs pos="100000">
          <a:srgbClr val="C0C0C0">
            <a:gamma/>
            <a:tint val="0"/>
            <a:invGamma/>
          </a:srgbClr>
        </a:gs>
      </a:gsLst>
      <a:lin ang="5400000" scaled="1"/>
    </a:gra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L"/>
    </a:p>
  </c:txPr>
  <c:printSettings>
    <c:headerFooter alignWithMargins="0"/>
    <c:pageMargins b="1" l="0.75000000000001465" r="0.75000000000001465" t="1" header="0" footer="0"/>
    <c:pageSetup paperSize="9" orientation="landscape" horizontalDpi="300" verticalDpi="300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333399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TENDENCIA DE INDICE  DE VEJEZ SERVICIO DE SALUD ACONCAGUA  2007 - 2013
</a:t>
            </a:r>
          </a:p>
        </c:rich>
      </c:tx>
      <c:layout>
        <c:manualLayout>
          <c:xMode val="edge"/>
          <c:yMode val="edge"/>
          <c:x val="0.14386817213886041"/>
          <c:y val="4.072398190045252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92466410472258"/>
          <c:y val="0.21719457013574661"/>
          <c:w val="0.87264251437495965"/>
          <c:h val="0.62895927601815405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numRef>
              <c:f>'12'!$B$6:$H$6</c:f>
              <c:numCache>
                <c:formatCode>General</c:formatCode>
                <c:ptCount val="7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</c:numCache>
            </c:numRef>
          </c:cat>
          <c:val>
            <c:numRef>
              <c:f>'12'!$B$19:$H$19</c:f>
              <c:numCache>
                <c:formatCode>#,##0.00</c:formatCode>
                <c:ptCount val="7"/>
                <c:pt idx="0">
                  <c:v>38.279320104045681</c:v>
                </c:pt>
                <c:pt idx="1">
                  <c:v>40.153402061855672</c:v>
                </c:pt>
                <c:pt idx="2">
                  <c:v>42.073667581275465</c:v>
                </c:pt>
                <c:pt idx="3">
                  <c:v>44.064943074794556</c:v>
                </c:pt>
                <c:pt idx="4">
                  <c:v>46.06784759358289</c:v>
                </c:pt>
                <c:pt idx="5">
                  <c:v>48.08549127332418</c:v>
                </c:pt>
                <c:pt idx="6">
                  <c:v>50.115027455458346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7795368"/>
        <c:axId val="327795760"/>
      </c:lineChart>
      <c:catAx>
        <c:axId val="3277953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0/0</a:t>
                </a:r>
              </a:p>
            </c:rich>
          </c:tx>
          <c:layout>
            <c:manualLayout>
              <c:xMode val="edge"/>
              <c:yMode val="edge"/>
              <c:x val="3.0660377358490611E-2"/>
              <c:y val="5.882352941176470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1" i="1" u="none" strike="noStrike" baseline="0">
                <a:solidFill>
                  <a:srgbClr val="000080"/>
                </a:solidFill>
                <a:latin typeface="Arial"/>
                <a:ea typeface="Arial"/>
                <a:cs typeface="Arial"/>
              </a:defRPr>
            </a:pPr>
            <a:endParaRPr lang="es-CL"/>
          </a:p>
        </c:txPr>
        <c:crossAx val="3277957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27795760"/>
        <c:scaling>
          <c:orientation val="minMax"/>
          <c:max val="49"/>
          <c:min val="35"/>
        </c:scaling>
        <c:delete val="0"/>
        <c:axPos val="l"/>
        <c:majorGridlines>
          <c:spPr>
            <a:ln w="12700">
              <a:solidFill>
                <a:srgbClr val="FF0000"/>
              </a:solidFill>
              <a:prstDash val="solid"/>
            </a:ln>
          </c:spPr>
        </c:majorGridlines>
        <c:numFmt formatCode="#,##0.00" sourceLinked="1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25" b="1" i="1" u="none" strike="noStrike" baseline="0">
                <a:solidFill>
                  <a:srgbClr val="000080"/>
                </a:solidFill>
                <a:latin typeface="Arial"/>
                <a:ea typeface="Arial"/>
                <a:cs typeface="Arial"/>
              </a:defRPr>
            </a:pPr>
            <a:endParaRPr lang="es-CL"/>
          </a:p>
        </c:txPr>
        <c:crossAx val="327795368"/>
        <c:crosses val="autoZero"/>
        <c:crossBetween val="between"/>
        <c:majorUnit val="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E3E3E3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L"/>
    </a:p>
  </c:txPr>
  <c:printSettings>
    <c:headerFooter alignWithMargins="0"/>
    <c:pageMargins b="1" l="0.75000000000001465" r="0.75000000000001465" t="1" header="0.5" footer="0.5"/>
    <c:pageSetup orientation="landscape" horizontalDpi="300" verticalDpi="300"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689836070518839"/>
          <c:y val="0.30894390705430796"/>
          <c:w val="0.46332104563958648"/>
          <c:h val="0.38482486668169158"/>
        </c:manualLayout>
      </c:layout>
      <c:pie3DChart>
        <c:varyColors val="0"/>
        <c:ser>
          <c:idx val="0"/>
          <c:order val="0"/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1"/>
            <c:bubble3D val="0"/>
            <c:spPr>
              <a:solidFill>
                <a:srgbClr val="FFFF0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Lbls>
            <c:dLbl>
              <c:idx val="0"/>
              <c:layout>
                <c:manualLayout>
                  <c:x val="5.9762721857257339E-2"/>
                  <c:y val="-0.17909885132582748"/>
                </c:manualLayout>
              </c:layout>
              <c:tx>
                <c:rich>
                  <a:bodyPr/>
                  <a:lstStyle/>
                  <a:p>
                    <a:pPr>
                      <a:defRPr sz="800" b="1" i="0" u="none" strike="noStrike" baseline="0">
                        <a:solidFill>
                          <a:srgbClr val="FF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s-ES"/>
                      <a:t>MAYOR  NO AMBULATORIAS
47,7%</a:t>
                    </a:r>
                  </a:p>
                </c:rich>
              </c:tx>
              <c:spPr>
                <a:solidFill>
                  <a:srgbClr val="FFFFFF"/>
                </a:solidFill>
                <a:ln w="25400">
                  <a:noFill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4.2898356568734405E-2"/>
                  <c:y val="0.10165526757965852"/>
                </c:manualLayout>
              </c:layout>
              <c:tx>
                <c:rich>
                  <a:bodyPr/>
                  <a:lstStyle/>
                  <a:p>
                    <a:pPr>
                      <a:defRPr sz="800" b="1" i="0" u="none" strike="noStrike" baseline="0">
                        <a:solidFill>
                          <a:srgbClr val="FF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s-ES"/>
                      <a:t>MAYOR AMBULATORIAS
7,6%</a:t>
                    </a:r>
                  </a:p>
                </c:rich>
              </c:tx>
              <c:spPr>
                <a:solidFill>
                  <a:srgbClr val="FFFFFF"/>
                </a:solidFill>
                <a:ln w="25400">
                  <a:noFill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9.3993287291149585E-2"/>
                  <c:y val="-0.19150753935700726"/>
                </c:manualLayout>
              </c:layout>
              <c:tx>
                <c:rich>
                  <a:bodyPr/>
                  <a:lstStyle/>
                  <a:p>
                    <a:pPr>
                      <a:defRPr sz="185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s-ES" sz="1075" b="1" i="0" strike="noStrike">
                        <a:solidFill>
                          <a:srgbClr val="FF0000"/>
                        </a:solidFill>
                        <a:latin typeface="Arial"/>
                        <a:cs typeface="Arial"/>
                      </a:rPr>
                      <a:t> </a:t>
                    </a:r>
                    <a:r>
                      <a:rPr lang="es-ES" sz="925" b="1" i="0" strike="noStrike">
                        <a:solidFill>
                          <a:srgbClr val="FF0000"/>
                        </a:solidFill>
                        <a:latin typeface="Arial"/>
                        <a:cs typeface="Arial"/>
                      </a:rPr>
                      <a:t>MENORES</a:t>
                    </a:r>
                  </a:p>
                  <a:p>
                    <a:pPr>
                      <a:defRPr sz="185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s-ES" sz="925" b="1" i="0" strike="noStrike">
                        <a:solidFill>
                          <a:srgbClr val="FF0000"/>
                        </a:solidFill>
                        <a:latin typeface="Arial"/>
                        <a:cs typeface="Arial"/>
                      </a:rPr>
                      <a:t>44,7%</a:t>
                    </a:r>
                  </a:p>
                </c:rich>
              </c:tx>
              <c:spPr>
                <a:solidFill>
                  <a:srgbClr val="FFFFFF"/>
                </a:solidFill>
                <a:ln w="25400">
                  <a:noFill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%" sourceLinked="0"/>
            <c:spPr>
              <a:solidFill>
                <a:srgbClr val="C0C0C0"/>
              </a:solidFill>
              <a:ln w="25400">
                <a:noFill/>
              </a:ln>
            </c:spPr>
            <c:txPr>
              <a:bodyPr/>
              <a:lstStyle/>
              <a:p>
                <a:pPr algn="ctr" rtl="1">
                  <a:defRPr sz="1200" b="1" i="0" u="none" strike="noStrike" baseline="0">
                    <a:solidFill>
                      <a:srgbClr val="FF0000"/>
                    </a:solidFill>
                    <a:latin typeface="Arial"/>
                    <a:ea typeface="Arial"/>
                    <a:cs typeface="Arial"/>
                  </a:defRPr>
                </a:pPr>
                <a:endParaRPr lang="es-CL"/>
              </a:p>
            </c:txPr>
            <c:dLblPos val="ctr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'79'!$B$15:$B$17</c:f>
              <c:strCache>
                <c:ptCount val="3"/>
                <c:pt idx="0">
                  <c:v>NO AMBULATORIAS  MAYORES</c:v>
                </c:pt>
                <c:pt idx="1">
                  <c:v>MAYOR AMBULATORIAS</c:v>
                </c:pt>
                <c:pt idx="2">
                  <c:v> MENORES</c:v>
                </c:pt>
              </c:strCache>
            </c:strRef>
          </c:cat>
          <c:val>
            <c:numRef>
              <c:f>'79'!$I$15:$I$17</c:f>
              <c:numCache>
                <c:formatCode>#,##0</c:formatCode>
                <c:ptCount val="3"/>
                <c:pt idx="0">
                  <c:v>10415</c:v>
                </c:pt>
                <c:pt idx="1">
                  <c:v>2550</c:v>
                </c:pt>
                <c:pt idx="2">
                  <c:v>10069</c:v>
                </c:pt>
              </c:numCache>
            </c:numRef>
          </c:val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gradFill rotWithShape="0">
      <a:gsLst>
        <a:gs pos="0">
          <a:srgbClr val="0080C0">
            <a:gamma/>
            <a:tint val="0"/>
            <a:invGamma/>
          </a:srgbClr>
        </a:gs>
        <a:gs pos="100000">
          <a:srgbClr val="0080C0"/>
        </a:gs>
      </a:gsLst>
      <a:path path="rect">
        <a:fillToRect l="50000" t="50000" r="50000" b="50000"/>
      </a:path>
    </a:gra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L"/>
    </a:p>
  </c:txPr>
  <c:printSettings>
    <c:headerFooter alignWithMargins="0"/>
    <c:pageMargins b="1" l="0.75000000000001465" r="0.75000000000001465" t="1" header="0" footer="0"/>
    <c:pageSetup paperSize="9" orientation="landscape" horizontalDpi="300" verticalDpi="300"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2987012987012986"/>
          <c:y val="0.26685393258426982"/>
          <c:w val="0.54155844155844168"/>
          <c:h val="0.46629213483146065"/>
        </c:manualLayout>
      </c:layout>
      <c:pie3DChart>
        <c:varyColors val="1"/>
        <c:ser>
          <c:idx val="0"/>
          <c:order val="0"/>
          <c:tx>
            <c:v>Electivas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Lbls>
            <c:dLbl>
              <c:idx val="0"/>
              <c:layout>
                <c:manualLayout>
                  <c:x val="0.15036056856529903"/>
                  <c:y val="-0.3942425314813176"/>
                </c:manualLayout>
              </c:layout>
              <c:tx>
                <c:rich>
                  <a:bodyPr/>
                  <a:lstStyle/>
                  <a:p>
                    <a:pPr>
                      <a:defRPr sz="1050" b="1" i="0" u="none" strike="noStrike" baseline="0">
                        <a:solidFill>
                          <a:srgbClr val="FF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s-ES"/>
                      <a:t>ELECTIVAS
83,9%</a:t>
                    </a:r>
                  </a:p>
                </c:rich>
              </c:tx>
              <c:spPr>
                <a:solidFill>
                  <a:srgbClr val="FFFFFF"/>
                </a:solidFill>
                <a:ln w="25400">
                  <a:noFill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2.9490677301700952E-2"/>
                  <c:y val="-0.12137308679111752"/>
                </c:manualLayout>
              </c:layout>
              <c:tx>
                <c:rich>
                  <a:bodyPr/>
                  <a:lstStyle/>
                  <a:p>
                    <a:pPr>
                      <a:defRPr sz="1200" b="1" i="0" u="none" strike="noStrike" baseline="0">
                        <a:solidFill>
                          <a:srgbClr val="FF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s-ES"/>
                      <a:t>URGENCIAS
16,1%</a:t>
                    </a:r>
                  </a:p>
                </c:rich>
              </c:tx>
              <c:spPr>
                <a:solidFill>
                  <a:srgbClr val="FFFFFF"/>
                </a:solidFill>
                <a:ln w="25400">
                  <a:noFill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8"/>
              <c:layout>
                <c:manualLayout>
                  <c:xMode val="edge"/>
                  <c:yMode val="edge"/>
                  <c:x val="0.24025974025974026"/>
                  <c:y val="0.52808988764044962"/>
                </c:manualLayout>
              </c:layout>
              <c:tx>
                <c:rich>
                  <a:bodyPr/>
                  <a:lstStyle/>
                  <a:p>
                    <a:pPr>
                      <a:defRPr sz="1200" b="1" i="0" u="none" strike="noStrike" baseline="0">
                        <a:solidFill>
                          <a:srgbClr val="FF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t>URGENCIA
45%</a:t>
                    </a:r>
                  </a:p>
                </c:rich>
              </c:tx>
              <c:numFmt formatCode="0%" sourceLinked="0"/>
              <c:spPr>
                <a:solidFill>
                  <a:srgbClr val="FFFFFF"/>
                </a:solidFill>
                <a:ln w="25400">
                  <a:noFill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5"/>
              <c:layout>
                <c:manualLayout>
                  <c:xMode val="edge"/>
                  <c:yMode val="edge"/>
                  <c:x val="0.21948051948051947"/>
                  <c:y val="0.55617977528090001"/>
                </c:manualLayout>
              </c:layout>
              <c:tx>
                <c:rich>
                  <a:bodyPr/>
                  <a:lstStyle/>
                  <a:p>
                    <a:pPr>
                      <a:defRPr sz="1100" b="1" i="0" u="none" strike="noStrike" baseline="0">
                        <a:solidFill>
                          <a:srgbClr val="FF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t>CONSULTORIO
17%</a:t>
                    </a:r>
                  </a:p>
                </c:rich>
              </c:tx>
              <c:numFmt formatCode="0%" sourceLinked="0"/>
              <c:spPr>
                <a:solidFill>
                  <a:srgbClr val="FFFFFF"/>
                </a:solidFill>
                <a:ln w="25400">
                  <a:noFill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%" sourceLinked="0"/>
            <c:spPr>
              <a:solidFill>
                <a:srgbClr val="FFFFFF"/>
              </a:solidFill>
              <a:ln w="25400">
                <a:noFill/>
              </a:ln>
            </c:spPr>
            <c:txPr>
              <a:bodyPr/>
              <a:lstStyle/>
              <a:p>
                <a:pPr algn="ctr" rtl="1">
                  <a:defRPr sz="1200" b="1" i="0" u="none" strike="noStrike" baseline="0">
                    <a:solidFill>
                      <a:srgbClr val="FF0000"/>
                    </a:solidFill>
                    <a:latin typeface="Arial"/>
                    <a:ea typeface="Arial"/>
                    <a:cs typeface="Arial"/>
                  </a:defRPr>
                </a:pPr>
                <a:endParaRPr lang="es-CL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('79'!$A$8,'79'!$A$12)</c:f>
              <c:strCache>
                <c:ptCount val="2"/>
                <c:pt idx="0">
                  <c:v> ELECTIVAS MAYORES</c:v>
                </c:pt>
                <c:pt idx="1">
                  <c:v>URGENCIAS</c:v>
                </c:pt>
              </c:strCache>
            </c:strRef>
          </c:cat>
          <c:val>
            <c:numRef>
              <c:f>'79'!$K$9:$K$11</c:f>
              <c:numCache>
                <c:formatCode>#,##0</c:formatCode>
                <c:ptCount val="3"/>
                <c:pt idx="0">
                  <c:v>7307</c:v>
                </c:pt>
                <c:pt idx="2">
                  <c:v>2239</c:v>
                </c:pt>
              </c:numCache>
            </c:numRef>
          </c:val>
        </c:ser>
        <c:ser>
          <c:idx val="1"/>
          <c:order val="1"/>
          <c:tx>
            <c:v>Urgencia</c:v>
          </c:tx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8080FF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Lbls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8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CL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val>
            <c:numRef>
              <c:f>'79'!$K$13:$K$14</c:f>
              <c:numCache>
                <c:formatCode>#,##0</c:formatCode>
                <c:ptCount val="2"/>
                <c:pt idx="0">
                  <c:v>3419</c:v>
                </c:pt>
                <c:pt idx="1">
                  <c:v>10069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gradFill rotWithShape="0">
      <a:gsLst>
        <a:gs pos="0">
          <a:srgbClr val="0080C0">
            <a:gamma/>
            <a:tint val="0"/>
            <a:invGamma/>
          </a:srgbClr>
        </a:gs>
        <a:gs pos="100000">
          <a:srgbClr val="0080C0"/>
        </a:gs>
      </a:gsLst>
      <a:path path="rect">
        <a:fillToRect l="50000" t="50000" r="50000" b="50000"/>
      </a:path>
    </a:gra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8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L"/>
    </a:p>
  </c:txPr>
  <c:printSettings>
    <c:headerFooter alignWithMargins="0"/>
    <c:pageMargins b="1" l="0.75000000000001465" r="0.75000000000001465" t="1" header="0" footer="0"/>
    <c:pageSetup orientation="landscape" horizontalDpi="300" verticalDpi="300"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689836070518839"/>
          <c:y val="0.30894390705430796"/>
          <c:w val="0.46332104563958648"/>
          <c:h val="0.38482486668169158"/>
        </c:manualLayout>
      </c:layout>
      <c:pie3DChart>
        <c:varyColors val="0"/>
        <c:ser>
          <c:idx val="0"/>
          <c:order val="0"/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1"/>
            <c:bubble3D val="0"/>
            <c:spPr>
              <a:solidFill>
                <a:srgbClr val="FFFF0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Lbls>
            <c:dLbl>
              <c:idx val="0"/>
              <c:layout>
                <c:manualLayout>
                  <c:x val="5.9762721857257339E-2"/>
                  <c:y val="-0.17909885132582748"/>
                </c:manualLayout>
              </c:layout>
              <c:tx>
                <c:rich>
                  <a:bodyPr/>
                  <a:lstStyle/>
                  <a:p>
                    <a:pPr>
                      <a:defRPr sz="800" b="1" i="0" u="none" strike="noStrike" baseline="0">
                        <a:solidFill>
                          <a:srgbClr val="FF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s-ES"/>
                      <a:t>MAYOR  NO AMBULATORIAS
47,7%</a:t>
                    </a:r>
                  </a:p>
                </c:rich>
              </c:tx>
              <c:spPr>
                <a:solidFill>
                  <a:srgbClr val="FFFFFF"/>
                </a:solidFill>
                <a:ln w="25400">
                  <a:noFill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4.2898356568734405E-2"/>
                  <c:y val="0.10165526757965852"/>
                </c:manualLayout>
              </c:layout>
              <c:tx>
                <c:rich>
                  <a:bodyPr/>
                  <a:lstStyle/>
                  <a:p>
                    <a:pPr>
                      <a:defRPr sz="800" b="1" i="0" u="none" strike="noStrike" baseline="0">
                        <a:solidFill>
                          <a:srgbClr val="FF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s-ES"/>
                      <a:t>MAYOR AMBULATORIAS
7,6%</a:t>
                    </a:r>
                  </a:p>
                </c:rich>
              </c:tx>
              <c:spPr>
                <a:solidFill>
                  <a:srgbClr val="FFFFFF"/>
                </a:solidFill>
                <a:ln w="25400">
                  <a:noFill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9.3993287291149585E-2"/>
                  <c:y val="-0.19150753935700726"/>
                </c:manualLayout>
              </c:layout>
              <c:tx>
                <c:rich>
                  <a:bodyPr/>
                  <a:lstStyle/>
                  <a:p>
                    <a:pPr>
                      <a:defRPr sz="185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s-ES" sz="1075" b="1" i="0" strike="noStrike">
                        <a:solidFill>
                          <a:srgbClr val="FF0000"/>
                        </a:solidFill>
                        <a:latin typeface="Arial"/>
                        <a:cs typeface="Arial"/>
                      </a:rPr>
                      <a:t> </a:t>
                    </a:r>
                    <a:r>
                      <a:rPr lang="es-ES" sz="925" b="1" i="0" strike="noStrike">
                        <a:solidFill>
                          <a:srgbClr val="FF0000"/>
                        </a:solidFill>
                        <a:latin typeface="Arial"/>
                        <a:cs typeface="Arial"/>
                      </a:rPr>
                      <a:t>MENORES</a:t>
                    </a:r>
                  </a:p>
                  <a:p>
                    <a:pPr>
                      <a:defRPr sz="185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s-ES" sz="925" b="1" i="0" strike="noStrike">
                        <a:solidFill>
                          <a:srgbClr val="FF0000"/>
                        </a:solidFill>
                        <a:latin typeface="Arial"/>
                        <a:cs typeface="Arial"/>
                      </a:rPr>
                      <a:t>44,7%</a:t>
                    </a:r>
                  </a:p>
                </c:rich>
              </c:tx>
              <c:spPr>
                <a:solidFill>
                  <a:srgbClr val="FFFFFF"/>
                </a:solidFill>
                <a:ln w="25400">
                  <a:noFill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%" sourceLinked="0"/>
            <c:spPr>
              <a:solidFill>
                <a:srgbClr val="C0C0C0"/>
              </a:solidFill>
              <a:ln w="25400">
                <a:noFill/>
              </a:ln>
            </c:spPr>
            <c:txPr>
              <a:bodyPr/>
              <a:lstStyle/>
              <a:p>
                <a:pPr algn="ctr" rtl="1">
                  <a:defRPr sz="1200" b="1" i="0" u="none" strike="noStrike" baseline="0">
                    <a:solidFill>
                      <a:srgbClr val="FF0000"/>
                    </a:solidFill>
                    <a:latin typeface="Arial"/>
                    <a:ea typeface="Arial"/>
                    <a:cs typeface="Arial"/>
                  </a:defRPr>
                </a:pPr>
                <a:endParaRPr lang="es-CL"/>
              </a:p>
            </c:txPr>
            <c:dLblPos val="ctr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'79'!$B$15:$B$17</c:f>
              <c:strCache>
                <c:ptCount val="3"/>
                <c:pt idx="0">
                  <c:v>NO AMBULATORIAS  MAYORES</c:v>
                </c:pt>
                <c:pt idx="1">
                  <c:v>MAYOR AMBULATORIAS</c:v>
                </c:pt>
                <c:pt idx="2">
                  <c:v> MENORES</c:v>
                </c:pt>
              </c:strCache>
            </c:strRef>
          </c:cat>
          <c:val>
            <c:numRef>
              <c:f>'79'!$I$15:$I$17</c:f>
              <c:numCache>
                <c:formatCode>#,##0</c:formatCode>
                <c:ptCount val="3"/>
                <c:pt idx="0">
                  <c:v>10415</c:v>
                </c:pt>
                <c:pt idx="1">
                  <c:v>2550</c:v>
                </c:pt>
                <c:pt idx="2">
                  <c:v>10069</c:v>
                </c:pt>
              </c:numCache>
            </c:numRef>
          </c:val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gradFill rotWithShape="0">
      <a:gsLst>
        <a:gs pos="0">
          <a:srgbClr val="0080C0">
            <a:gamma/>
            <a:tint val="0"/>
            <a:invGamma/>
          </a:srgbClr>
        </a:gs>
        <a:gs pos="100000">
          <a:srgbClr val="0080C0"/>
        </a:gs>
      </a:gsLst>
      <a:path path="rect">
        <a:fillToRect l="50000" t="50000" r="50000" b="50000"/>
      </a:path>
    </a:gra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L"/>
    </a:p>
  </c:txPr>
  <c:printSettings>
    <c:headerFooter alignWithMargins="0"/>
    <c:pageMargins b="1" l="0.75000000000001465" r="0.75000000000001465" t="1" header="0" footer="0"/>
    <c:pageSetup paperSize="9" orientation="landscape" horizontalDpi="300" verticalDpi="300"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15"/>
      <c:rotY val="22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2987012987012986"/>
          <c:y val="0.26685393258426982"/>
          <c:w val="0.54155844155844168"/>
          <c:h val="0.46629213483146065"/>
        </c:manualLayout>
      </c:layout>
      <c:pie3DChart>
        <c:varyColors val="1"/>
        <c:ser>
          <c:idx val="0"/>
          <c:order val="0"/>
          <c:tx>
            <c:v>Electivas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Lbls>
            <c:dLbl>
              <c:idx val="0"/>
              <c:layout>
                <c:manualLayout>
                  <c:x val="0.33607622347336646"/>
                  <c:y val="0.34420280035296252"/>
                </c:manualLayout>
              </c:layout>
              <c:tx>
                <c:rich>
                  <a:bodyPr/>
                  <a:lstStyle/>
                  <a:p>
                    <a:r>
                      <a:rPr lang="es-ES"/>
                      <a:t>Electivas 77%</a:t>
                    </a:r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0.28583802511910039"/>
                  <c:y val="-0.20652168021177672"/>
                </c:manualLayout>
              </c:layout>
              <c:tx>
                <c:rich>
                  <a:bodyPr/>
                  <a:lstStyle/>
                  <a:p>
                    <a:r>
                      <a:rPr lang="es-ES"/>
                      <a:t>Urgencias</a:t>
                    </a:r>
                  </a:p>
                  <a:p>
                    <a:r>
                      <a:rPr lang="es-ES"/>
                      <a:t>23%</a:t>
                    </a:r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</c:extLst>
            </c:dLbl>
            <c:numFmt formatCode="0%" sourceLinked="0"/>
            <c:spPr>
              <a:solidFill>
                <a:srgbClr val="FFFFFF"/>
              </a:solidFill>
              <a:ln w="25400">
                <a:noFill/>
              </a:ln>
            </c:spPr>
            <c:txPr>
              <a:bodyPr/>
              <a:lstStyle/>
              <a:p>
                <a:pPr algn="ctr" rtl="1">
                  <a:defRPr sz="1200" b="1" i="0" u="none" strike="noStrike" baseline="0">
                    <a:solidFill>
                      <a:srgbClr val="FF0000"/>
                    </a:solidFill>
                    <a:latin typeface="Arial"/>
                    <a:ea typeface="Arial"/>
                    <a:cs typeface="Arial"/>
                  </a:defRPr>
                </a:pPr>
                <a:endParaRPr lang="es-CL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('79'!$A$8,'79'!$A$12)</c:f>
              <c:strCache>
                <c:ptCount val="2"/>
                <c:pt idx="0">
                  <c:v> ELECTIVAS MAYORES</c:v>
                </c:pt>
                <c:pt idx="1">
                  <c:v>URGENCIAS</c:v>
                </c:pt>
              </c:strCache>
            </c:strRef>
          </c:cat>
          <c:val>
            <c:numRef>
              <c:f>'79'!$K$9:$K$11</c:f>
              <c:numCache>
                <c:formatCode>#,##0</c:formatCode>
                <c:ptCount val="3"/>
                <c:pt idx="0">
                  <c:v>7307</c:v>
                </c:pt>
                <c:pt idx="2">
                  <c:v>2239</c:v>
                </c:pt>
              </c:numCache>
            </c:numRef>
          </c:val>
        </c:ser>
        <c:ser>
          <c:idx val="1"/>
          <c:order val="1"/>
          <c:tx>
            <c:v>Urgencia</c:v>
          </c:tx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8080FF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Lbls>
            <c:numFmt formatCode="0%" sourceLinked="0"/>
            <c:spPr>
              <a:solidFill>
                <a:srgbClr val="FFFFFF"/>
              </a:solidFill>
              <a:ln w="3175">
                <a:solidFill>
                  <a:srgbClr val="000000"/>
                </a:solidFill>
                <a:prstDash val="solid"/>
              </a:ln>
            </c:spPr>
            <c:txPr>
              <a:bodyPr/>
              <a:lstStyle/>
              <a:p>
                <a:pPr>
                  <a:defRPr sz="18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CL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val>
            <c:numRef>
              <c:f>'79'!$K$13:$K$14</c:f>
              <c:numCache>
                <c:formatCode>#,##0</c:formatCode>
                <c:ptCount val="2"/>
                <c:pt idx="0">
                  <c:v>3419</c:v>
                </c:pt>
                <c:pt idx="1">
                  <c:v>10069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gradFill rotWithShape="0">
      <a:gsLst>
        <a:gs pos="0">
          <a:srgbClr val="0080C0">
            <a:gamma/>
            <a:tint val="0"/>
            <a:invGamma/>
          </a:srgbClr>
        </a:gs>
        <a:gs pos="100000">
          <a:srgbClr val="0080C0"/>
        </a:gs>
      </a:gsLst>
      <a:path path="rect">
        <a:fillToRect l="50000" t="50000" r="50000" b="50000"/>
      </a:path>
    </a:gra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8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L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8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PERFIL DE INT. QUIR. MAYORES 
ELECTIVAS Y URGENCIA</a:t>
            </a:r>
          </a:p>
        </c:rich>
      </c:tx>
      <c:layout>
        <c:manualLayout>
          <c:xMode val="edge"/>
          <c:yMode val="edge"/>
          <c:x val="0.26888958880139985"/>
          <c:y val="4.2194092827004523E-2"/>
        </c:manualLayout>
      </c:layout>
      <c:overlay val="0"/>
      <c:spPr>
        <a:gradFill rotWithShape="0">
          <a:gsLst>
            <a:gs pos="0">
              <a:srgbClr val="C0C0C0"/>
            </a:gs>
            <a:gs pos="100000">
              <a:srgbClr val="C0C0C0">
                <a:gamma/>
                <a:tint val="0"/>
                <a:invGamma/>
              </a:srgbClr>
            </a:gs>
          </a:gsLst>
          <a:lin ang="5400000" scaled="1"/>
        </a:gradFill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666694155152294"/>
          <c:y val="0.24050732012840273"/>
          <c:w val="0.84222404996538625"/>
          <c:h val="0.61603629366220691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numRef>
              <c:f>'80'!$A$10:$A$19</c:f>
              <c:numCache>
                <c:formatCode>General</c:formatCode>
                <c:ptCount val="10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</c:numCache>
            </c:numRef>
          </c:cat>
          <c:val>
            <c:numRef>
              <c:f>'80'!$H$10:$H$19</c:f>
              <c:numCache>
                <c:formatCode>#,##0</c:formatCode>
                <c:ptCount val="10"/>
                <c:pt idx="0">
                  <c:v>7126</c:v>
                </c:pt>
                <c:pt idx="1">
                  <c:v>7080</c:v>
                </c:pt>
                <c:pt idx="2">
                  <c:v>7032</c:v>
                </c:pt>
                <c:pt idx="3">
                  <c:v>7303</c:v>
                </c:pt>
                <c:pt idx="4">
                  <c:v>7006</c:v>
                </c:pt>
                <c:pt idx="5">
                  <c:v>7175</c:v>
                </c:pt>
                <c:pt idx="6">
                  <c:v>8974</c:v>
                </c:pt>
                <c:pt idx="7">
                  <c:v>9300</c:v>
                </c:pt>
                <c:pt idx="8">
                  <c:v>9244</c:v>
                </c:pt>
                <c:pt idx="9">
                  <c:v>9546</c:v>
                </c:pt>
              </c:numCache>
            </c:numRef>
          </c:val>
          <c:smooth val="0"/>
        </c:ser>
        <c:ser>
          <c:idx val="1"/>
          <c:order val="1"/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'80'!$A$10:$A$19</c:f>
              <c:numCache>
                <c:formatCode>General</c:formatCode>
                <c:ptCount val="10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</c:numCache>
            </c:numRef>
          </c:cat>
          <c:val>
            <c:numRef>
              <c:f>'80'!$I$10:$I$19</c:f>
              <c:numCache>
                <c:formatCode>#,##0</c:formatCode>
                <c:ptCount val="10"/>
                <c:pt idx="0">
                  <c:v>2263</c:v>
                </c:pt>
                <c:pt idx="1">
                  <c:v>2345</c:v>
                </c:pt>
                <c:pt idx="2">
                  <c:v>2575</c:v>
                </c:pt>
                <c:pt idx="3">
                  <c:v>2678</c:v>
                </c:pt>
                <c:pt idx="4">
                  <c:v>2858</c:v>
                </c:pt>
                <c:pt idx="5">
                  <c:v>2865</c:v>
                </c:pt>
                <c:pt idx="6">
                  <c:v>3294</c:v>
                </c:pt>
                <c:pt idx="7">
                  <c:v>3296</c:v>
                </c:pt>
                <c:pt idx="8">
                  <c:v>3303</c:v>
                </c:pt>
                <c:pt idx="9">
                  <c:v>3419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4300560"/>
        <c:axId val="334300952"/>
      </c:lineChart>
      <c:catAx>
        <c:axId val="3343005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6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Numero</a:t>
                </a:r>
              </a:p>
            </c:rich>
          </c:tx>
          <c:layout>
            <c:manualLayout>
              <c:xMode val="edge"/>
              <c:yMode val="edge"/>
              <c:x val="5.1111111111111114E-2"/>
              <c:y val="0.1265827214636081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1" i="1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L"/>
          </a:p>
        </c:txPr>
        <c:crossAx val="3343009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34300952"/>
        <c:scaling>
          <c:orientation val="minMax"/>
          <c:min val="1000"/>
        </c:scaling>
        <c:delete val="0"/>
        <c:axPos val="l"/>
        <c:majorGridlines>
          <c:spPr>
            <a:ln w="12700">
              <a:solidFill>
                <a:srgbClr val="FF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1" i="1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L"/>
          </a:p>
        </c:txPr>
        <c:crossAx val="3343005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gradFill rotWithShape="0">
      <a:gsLst>
        <a:gs pos="0">
          <a:srgbClr val="C0C0C0"/>
        </a:gs>
        <a:gs pos="100000">
          <a:srgbClr val="C0C0C0">
            <a:gamma/>
            <a:tint val="0"/>
            <a:invGamma/>
          </a:srgbClr>
        </a:gs>
      </a:gsLst>
      <a:lin ang="5400000" scaled="1"/>
    </a:gra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L"/>
    </a:p>
  </c:txPr>
  <c:printSettings>
    <c:headerFooter alignWithMargins="0"/>
    <c:pageMargins b="1" l="0.75000000000001465" r="0.75000000000001465" t="1" header="0.5" footer="0.5"/>
    <c:pageSetup paperSize="9" orientation="landscape" horizontalDpi="300" verticalDpi="300" copies="0"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8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TASA INT. QUIR. MAYORES  HABITANTE/AÑO</a:t>
            </a:r>
          </a:p>
        </c:rich>
      </c:tx>
      <c:layout>
        <c:manualLayout>
          <c:xMode val="edge"/>
          <c:yMode val="edge"/>
          <c:x val="0.18181841460504841"/>
          <c:y val="4.201680672268907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040000129919757E-2"/>
          <c:y val="0.24369797896283121"/>
          <c:w val="0.88691892032345687"/>
          <c:h val="0.60924494740710122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numRef>
              <c:f>'80'!$A$10:$A$19</c:f>
              <c:numCache>
                <c:formatCode>General</c:formatCode>
                <c:ptCount val="10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</c:numCache>
            </c:numRef>
          </c:cat>
          <c:val>
            <c:numRef>
              <c:f>'80'!$N$10:$N$19</c:f>
              <c:numCache>
                <c:formatCode>General</c:formatCode>
                <c:ptCount val="10"/>
                <c:pt idx="0">
                  <c:v>2.903428212880041</c:v>
                </c:pt>
                <c:pt idx="1">
                  <c:v>2.8466431322724093</c:v>
                </c:pt>
                <c:pt idx="2">
                  <c:v>2.7904097521487583</c:v>
                </c:pt>
                <c:pt idx="3">
                  <c:v>2.8604889818492318</c:v>
                </c:pt>
                <c:pt idx="4">
                  <c:v>2.7094758173675624</c:v>
                </c:pt>
                <c:pt idx="5">
                  <c:v>2.739741719679555</c:v>
                </c:pt>
                <c:pt idx="6">
                  <c:v>3.3876678922771442</c:v>
                </c:pt>
                <c:pt idx="7">
                  <c:v>3.4712890799964167</c:v>
                </c:pt>
                <c:pt idx="8">
                  <c:v>3.411737350847214</c:v>
                </c:pt>
                <c:pt idx="9">
                  <c:v>3.4843485370554226</c:v>
                </c:pt>
              </c:numCache>
            </c:numRef>
          </c:val>
          <c:smooth val="0"/>
        </c:ser>
        <c:ser>
          <c:idx val="1"/>
          <c:order val="1"/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'80'!$A$10:$A$19</c:f>
              <c:numCache>
                <c:formatCode>General</c:formatCode>
                <c:ptCount val="10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</c:numCache>
            </c:numRef>
          </c:cat>
          <c:val>
            <c:numRef>
              <c:f>'80'!$O$10:$O$19</c:f>
              <c:numCache>
                <c:formatCode>General</c:formatCode>
                <c:ptCount val="10"/>
                <c:pt idx="0">
                  <c:v>0.92204014113773969</c:v>
                </c:pt>
                <c:pt idx="1">
                  <c:v>0.94285002050548028</c:v>
                </c:pt>
                <c:pt idx="2">
                  <c:v>1.0218010682285343</c:v>
                </c:pt>
                <c:pt idx="3">
                  <c:v>1.0489373536070441</c:v>
                </c:pt>
                <c:pt idx="4">
                  <c:v>1.1052928755404641</c:v>
                </c:pt>
                <c:pt idx="5">
                  <c:v>1.093987460192603</c:v>
                </c:pt>
                <c:pt idx="6">
                  <c:v>1.243478720432462</c:v>
                </c:pt>
                <c:pt idx="7">
                  <c:v>1.2302547105019559</c:v>
                </c:pt>
                <c:pt idx="8" formatCode="0.000">
                  <c:v>1.2190576016711756</c:v>
                </c:pt>
                <c:pt idx="9">
                  <c:v>1.247955965660223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4301736"/>
        <c:axId val="334302128"/>
      </c:lineChart>
      <c:catAx>
        <c:axId val="3343017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%</a:t>
                </a:r>
              </a:p>
            </c:rich>
          </c:tx>
          <c:layout>
            <c:manualLayout>
              <c:xMode val="edge"/>
              <c:yMode val="edge"/>
              <c:x val="3.1042128603105092E-2"/>
              <c:y val="0.1134458192725909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1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L"/>
          </a:p>
        </c:txPr>
        <c:crossAx val="3343021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34302128"/>
        <c:scaling>
          <c:orientation val="minMax"/>
          <c:min val="0.5"/>
        </c:scaling>
        <c:delete val="0"/>
        <c:axPos val="l"/>
        <c:majorGridlines>
          <c:spPr>
            <a:ln w="12700">
              <a:solidFill>
                <a:srgbClr val="FF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1" i="1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L"/>
          </a:p>
        </c:txPr>
        <c:crossAx val="3343017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gradFill rotWithShape="0">
      <a:gsLst>
        <a:gs pos="0">
          <a:srgbClr val="C0C0C0"/>
        </a:gs>
        <a:gs pos="100000">
          <a:srgbClr val="C0C0C0">
            <a:gamma/>
            <a:tint val="0"/>
            <a:invGamma/>
          </a:srgbClr>
        </a:gs>
      </a:gsLst>
      <a:lin ang="5400000" scaled="1"/>
    </a:gra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L"/>
    </a:p>
  </c:txPr>
  <c:printSettings>
    <c:headerFooter alignWithMargins="0"/>
    <c:pageMargins b="1" l="0.75000000000001465" r="0.75000000000001465" t="1" header="0.5" footer="0.5"/>
    <c:pageSetup paperSize="304" orientation="landscape" horizontalDpi="300" verticalDpi="300"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8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TASA INT. QUIR. MAYORES  HABITANTE/AÑO
HOSPITAL SAN  FELIPE</a:t>
            </a:r>
          </a:p>
        </c:rich>
      </c:tx>
      <c:layout>
        <c:manualLayout>
          <c:xMode val="edge"/>
          <c:yMode val="edge"/>
          <c:x val="0.18181841460504841"/>
          <c:y val="4.201680672268907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040000129919757E-2"/>
          <c:y val="0.24369797896283121"/>
          <c:w val="0.88691892032345687"/>
          <c:h val="0.60924494740710122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numRef>
              <c:f>'80'!$A$10:$A$19</c:f>
              <c:numCache>
                <c:formatCode>General</c:formatCode>
                <c:ptCount val="10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</c:numCache>
            </c:numRef>
          </c:cat>
          <c:val>
            <c:numRef>
              <c:f>'80'!$Q$10:$Q$19</c:f>
              <c:numCache>
                <c:formatCode>General</c:formatCode>
                <c:ptCount val="10"/>
                <c:pt idx="0">
                  <c:v>3.6371392536538316</c:v>
                </c:pt>
                <c:pt idx="1">
                  <c:v>3.5918830396516075</c:v>
                </c:pt>
                <c:pt idx="2">
                  <c:v>3.4025150987171728</c:v>
                </c:pt>
                <c:pt idx="3">
                  <c:v>3.6144148959864584</c:v>
                </c:pt>
                <c:pt idx="4">
                  <c:v>3.6825675972741263</c:v>
                </c:pt>
                <c:pt idx="5">
                  <c:v>3.1969653568049443</c:v>
                </c:pt>
                <c:pt idx="6">
                  <c:v>4.0959700801180325</c:v>
                </c:pt>
                <c:pt idx="7">
                  <c:v>4.4341030074933032</c:v>
                </c:pt>
                <c:pt idx="8">
                  <c:v>4.4365683834803811</c:v>
                </c:pt>
                <c:pt idx="9">
                  <c:v>4.6935175292568392</c:v>
                </c:pt>
              </c:numCache>
            </c:numRef>
          </c:val>
          <c:smooth val="0"/>
        </c:ser>
        <c:ser>
          <c:idx val="1"/>
          <c:order val="1"/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'80'!$A$10:$A$19</c:f>
              <c:numCache>
                <c:formatCode>General</c:formatCode>
                <c:ptCount val="10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</c:numCache>
            </c:numRef>
          </c:cat>
          <c:val>
            <c:numRef>
              <c:f>'80'!$R$10:$R$19</c:f>
              <c:numCache>
                <c:formatCode>General</c:formatCode>
                <c:ptCount val="10"/>
                <c:pt idx="0">
                  <c:v>1.149936938942058</c:v>
                </c:pt>
                <c:pt idx="1">
                  <c:v>1.1289820863296189</c:v>
                </c:pt>
                <c:pt idx="2">
                  <c:v>1.409213602838288</c:v>
                </c:pt>
                <c:pt idx="3">
                  <c:v>1.4664350305136087</c:v>
                </c:pt>
                <c:pt idx="4">
                  <c:v>1.5045064849417455</c:v>
                </c:pt>
                <c:pt idx="5">
                  <c:v>1.2204543284463079</c:v>
                </c:pt>
                <c:pt idx="6">
                  <c:v>1.2686784813601195</c:v>
                </c:pt>
                <c:pt idx="7">
                  <c:v>1.2002848133455397</c:v>
                </c:pt>
                <c:pt idx="8">
                  <c:v>1.3020636955483498</c:v>
                </c:pt>
                <c:pt idx="9">
                  <c:v>1.2472979352498323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4302912"/>
        <c:axId val="339177648"/>
      </c:lineChart>
      <c:catAx>
        <c:axId val="3343029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%</a:t>
                </a:r>
              </a:p>
            </c:rich>
          </c:tx>
          <c:layout>
            <c:manualLayout>
              <c:xMode val="edge"/>
              <c:yMode val="edge"/>
              <c:x val="3.1042128603105092E-2"/>
              <c:y val="0.1134458192725909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1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L"/>
          </a:p>
        </c:txPr>
        <c:crossAx val="3391776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39177648"/>
        <c:scaling>
          <c:orientation val="minMax"/>
          <c:min val="0.5"/>
        </c:scaling>
        <c:delete val="0"/>
        <c:axPos val="l"/>
        <c:majorGridlines>
          <c:spPr>
            <a:ln w="12700">
              <a:solidFill>
                <a:srgbClr val="FF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1" i="1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L"/>
          </a:p>
        </c:txPr>
        <c:crossAx val="3343029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gradFill rotWithShape="0">
      <a:gsLst>
        <a:gs pos="0">
          <a:srgbClr val="C0C0C0"/>
        </a:gs>
        <a:gs pos="100000">
          <a:srgbClr val="C0C0C0">
            <a:gamma/>
            <a:tint val="0"/>
            <a:invGamma/>
          </a:srgbClr>
        </a:gs>
      </a:gsLst>
      <a:lin ang="5400000" scaled="1"/>
    </a:gra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L"/>
    </a:p>
  </c:txPr>
  <c:printSettings>
    <c:headerFooter alignWithMargins="0"/>
    <c:pageMargins b="1" l="0.75000000000001465" r="0.75000000000001465" t="1" header="0" footer="0"/>
    <c:pageSetup orientation="landscape" horizontalDpi="300" verticalDpi="300"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8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TASA INT. QUIR. MAYORES  HABITANTE/AÑO
HOSPITAL LOS  ANDES</a:t>
            </a:r>
          </a:p>
        </c:rich>
      </c:tx>
      <c:layout>
        <c:manualLayout>
          <c:xMode val="edge"/>
          <c:yMode val="edge"/>
          <c:x val="0.18181841460504841"/>
          <c:y val="4.201680672268907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040000129919757E-2"/>
          <c:y val="0.24369797896283121"/>
          <c:w val="0.88691892032345687"/>
          <c:h val="0.60924494740710122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numRef>
              <c:f>'80'!$A$10:$A$19</c:f>
              <c:numCache>
                <c:formatCode>General</c:formatCode>
                <c:ptCount val="10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</c:numCache>
            </c:numRef>
          </c:cat>
          <c:val>
            <c:numRef>
              <c:f>'80'!$T$10:$T$19</c:f>
              <c:numCache>
                <c:formatCode>General</c:formatCode>
                <c:ptCount val="10"/>
                <c:pt idx="0">
                  <c:v>3.1438579965264486</c:v>
                </c:pt>
                <c:pt idx="1">
                  <c:v>3.0469014152538278</c:v>
                </c:pt>
                <c:pt idx="2">
                  <c:v>3.1033925225645071</c:v>
                </c:pt>
                <c:pt idx="3" formatCode="0.000">
                  <c:v>3.0403222029691377</c:v>
                </c:pt>
                <c:pt idx="4">
                  <c:v>2.5978220745662606</c:v>
                </c:pt>
                <c:pt idx="5">
                  <c:v>3.1738960460401304</c:v>
                </c:pt>
                <c:pt idx="6">
                  <c:v>3.7664259765887791</c:v>
                </c:pt>
                <c:pt idx="7">
                  <c:v>3.60145863942929</c:v>
                </c:pt>
                <c:pt idx="8">
                  <c:v>3.4490287870318617</c:v>
                </c:pt>
                <c:pt idx="9">
                  <c:v>3.3440231728133241</c:v>
                </c:pt>
              </c:numCache>
            </c:numRef>
          </c:val>
          <c:smooth val="0"/>
        </c:ser>
        <c:ser>
          <c:idx val="1"/>
          <c:order val="1"/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'80'!$A$10:$A$19</c:f>
              <c:numCache>
                <c:formatCode>General</c:formatCode>
                <c:ptCount val="10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</c:numCache>
            </c:numRef>
          </c:cat>
          <c:val>
            <c:numRef>
              <c:f>'80'!$U$10:$U$19</c:f>
              <c:numCache>
                <c:formatCode>General</c:formatCode>
                <c:ptCount val="10"/>
                <c:pt idx="0">
                  <c:v>1.0037973565688383</c:v>
                </c:pt>
                <c:pt idx="1">
                  <c:v>1.0732744046756508</c:v>
                </c:pt>
                <c:pt idx="2">
                  <c:v>0.96440086358578325</c:v>
                </c:pt>
                <c:pt idx="3">
                  <c:v>0.96660890741347827</c:v>
                </c:pt>
                <c:pt idx="4">
                  <c:v>1.048357327427095</c:v>
                </c:pt>
                <c:pt idx="5">
                  <c:v>1.3228355047231137</c:v>
                </c:pt>
                <c:pt idx="6">
                  <c:v>1.6172579270753911</c:v>
                </c:pt>
                <c:pt idx="7">
                  <c:v>1.663981873218743</c:v>
                </c:pt>
                <c:pt idx="8">
                  <c:v>1.5275642817216322</c:v>
                </c:pt>
                <c:pt idx="9">
                  <c:v>1.6491663649373263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9178432"/>
        <c:axId val="339178824"/>
      </c:lineChart>
      <c:catAx>
        <c:axId val="3391784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%</a:t>
                </a:r>
              </a:p>
            </c:rich>
          </c:tx>
          <c:layout>
            <c:manualLayout>
              <c:xMode val="edge"/>
              <c:yMode val="edge"/>
              <c:x val="3.1042128603105092E-2"/>
              <c:y val="0.1134458192725909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1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L"/>
          </a:p>
        </c:txPr>
        <c:crossAx val="3391788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39178824"/>
        <c:scaling>
          <c:orientation val="minMax"/>
          <c:min val="0.5"/>
        </c:scaling>
        <c:delete val="0"/>
        <c:axPos val="l"/>
        <c:majorGridlines>
          <c:spPr>
            <a:ln w="12700">
              <a:solidFill>
                <a:srgbClr val="FF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1" i="1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L"/>
          </a:p>
        </c:txPr>
        <c:crossAx val="3391784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gradFill rotWithShape="0">
      <a:gsLst>
        <a:gs pos="0">
          <a:srgbClr val="C0C0C0"/>
        </a:gs>
        <a:gs pos="100000">
          <a:srgbClr val="C0C0C0">
            <a:gamma/>
            <a:tint val="0"/>
            <a:invGamma/>
          </a:srgbClr>
        </a:gs>
      </a:gsLst>
      <a:lin ang="5400000" scaled="1"/>
    </a:gra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L"/>
    </a:p>
  </c:txPr>
  <c:printSettings>
    <c:headerFooter alignWithMargins="0"/>
    <c:pageMargins b="1" l="0.75000000000001465" r="0.75000000000001465" t="1" header="0" footer="0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8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TASA EX. DE DIAGNOSTICO HABITANTE /AÑO
SERVICIO SALUD  ACONCAGUA
2005 - 2014</a:t>
            </a:r>
          </a:p>
        </c:rich>
      </c:tx>
      <c:layout>
        <c:manualLayout>
          <c:xMode val="edge"/>
          <c:yMode val="edge"/>
          <c:x val="0.22795741346528531"/>
          <c:y val="3.92156862745098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5268975279265959E-2"/>
          <c:y val="0.24705976968355417"/>
          <c:w val="0.91613095625620855"/>
          <c:h val="0.64313971790641811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numRef>
              <c:f>'84'!$A$10:$A$19</c:f>
              <c:numCache>
                <c:formatCode>General</c:formatCode>
                <c:ptCount val="10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</c:numCache>
            </c:numRef>
          </c:cat>
          <c:val>
            <c:numRef>
              <c:f>'84'!$P$10:$P$19</c:f>
              <c:numCache>
                <c:formatCode>General</c:formatCode>
                <c:ptCount val="10"/>
                <c:pt idx="0">
                  <c:v>363.31967046130529</c:v>
                </c:pt>
                <c:pt idx="1">
                  <c:v>353.09258531947</c:v>
                </c:pt>
                <c:pt idx="2">
                  <c:v>392.8608842646604</c:v>
                </c:pt>
                <c:pt idx="3">
                  <c:v>387.48482213500665</c:v>
                </c:pt>
                <c:pt idx="4">
                  <c:v>407.53865431172505</c:v>
                </c:pt>
                <c:pt idx="5">
                  <c:v>382.69781507984391</c:v>
                </c:pt>
                <c:pt idx="6">
                  <c:v>413.58502389562932</c:v>
                </c:pt>
                <c:pt idx="7">
                  <c:v>419.8673445011795</c:v>
                </c:pt>
                <c:pt idx="8">
                  <c:v>420.8000088578209</c:v>
                </c:pt>
                <c:pt idx="9">
                  <c:v>441.12086083046194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9179608"/>
        <c:axId val="339180000"/>
      </c:lineChart>
      <c:catAx>
        <c:axId val="3391796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1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L"/>
          </a:p>
        </c:txPr>
        <c:crossAx val="3391800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39180000"/>
        <c:scaling>
          <c:orientation val="minMax"/>
          <c:max val="450"/>
          <c:min val="340"/>
        </c:scaling>
        <c:delete val="0"/>
        <c:axPos val="l"/>
        <c:majorGridlines>
          <c:spPr>
            <a:ln w="12700">
              <a:solidFill>
                <a:srgbClr val="FF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850" b="1" i="1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L"/>
          </a:p>
        </c:txPr>
        <c:crossAx val="3391796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gradFill rotWithShape="0">
      <a:gsLst>
        <a:gs pos="0">
          <a:srgbClr val="C0C0C0"/>
        </a:gs>
        <a:gs pos="100000">
          <a:srgbClr val="C0C0C0">
            <a:gamma/>
            <a:tint val="0"/>
            <a:invGamma/>
          </a:srgbClr>
        </a:gs>
      </a:gsLst>
      <a:lin ang="5400000" scaled="1"/>
    </a:gra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L"/>
    </a:p>
  </c:txPr>
  <c:printSettings>
    <c:headerFooter alignWithMargins="0"/>
    <c:pageMargins b="1" l="0.75000000000001465" r="0.75000000000001465" t="1" header="0.5" footer="0.5"/>
    <c:pageSetup paperSize="304" orientation="landscape" horizontalDpi="300" verticalDpi="300"/>
  </c:printSettings>
  <c:userShapes r:id="rId1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8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TASA  EX.   IMAGENOLOGIA  HABITANTE /AÑO
SERVICIO SALUD  ACONCAGUA
2005 - 2014</a:t>
            </a:r>
          </a:p>
        </c:rich>
      </c:tx>
      <c:layout>
        <c:manualLayout>
          <c:xMode val="edge"/>
          <c:yMode val="edge"/>
          <c:x val="0.22580682633877217"/>
          <c:y val="3.92156862745098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2365722374249012E-2"/>
          <c:y val="0.24705976968355417"/>
          <c:w val="0.92903420916122559"/>
          <c:h val="0.64313971790641811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numRef>
              <c:f>'84'!$A$10:$A$19</c:f>
              <c:numCache>
                <c:formatCode>General</c:formatCode>
                <c:ptCount val="10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</c:numCache>
            </c:numRef>
          </c:cat>
          <c:val>
            <c:numRef>
              <c:f>'84'!$Q$10:$Q$19</c:f>
              <c:numCache>
                <c:formatCode>General</c:formatCode>
                <c:ptCount val="10"/>
                <c:pt idx="0">
                  <c:v>43.669173790102434</c:v>
                </c:pt>
                <c:pt idx="1">
                  <c:v>44.404985840378693</c:v>
                </c:pt>
                <c:pt idx="2">
                  <c:v>45.104084823377221</c:v>
                </c:pt>
                <c:pt idx="3">
                  <c:v>45.332267945132507</c:v>
                </c:pt>
                <c:pt idx="4">
                  <c:v>48.216758065389406</c:v>
                </c:pt>
                <c:pt idx="5">
                  <c:v>43.472732410285388</c:v>
                </c:pt>
                <c:pt idx="6">
                  <c:v>45.705581686812479</c:v>
                </c:pt>
                <c:pt idx="7" formatCode="0.0">
                  <c:v>45.66984681537221</c:v>
                </c:pt>
                <c:pt idx="8" formatCode="0.0">
                  <c:v>45.720380738668446</c:v>
                </c:pt>
                <c:pt idx="9" formatCode="0.0">
                  <c:v>45.139943351048295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9180784"/>
        <c:axId val="339181176"/>
      </c:lineChart>
      <c:catAx>
        <c:axId val="339180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1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L"/>
          </a:p>
        </c:txPr>
        <c:crossAx val="3391811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39181176"/>
        <c:scaling>
          <c:orientation val="minMax"/>
          <c:max val="50"/>
          <c:min val="42"/>
        </c:scaling>
        <c:delete val="0"/>
        <c:axPos val="l"/>
        <c:majorGridlines>
          <c:spPr>
            <a:ln w="12700">
              <a:solidFill>
                <a:srgbClr val="FF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850" b="1" i="1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L"/>
          </a:p>
        </c:txPr>
        <c:crossAx val="339180784"/>
        <c:crosses val="autoZero"/>
        <c:crossBetween val="between"/>
        <c:majorUnit val="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gradFill rotWithShape="0">
      <a:gsLst>
        <a:gs pos="0">
          <a:srgbClr val="C0C0C0"/>
        </a:gs>
        <a:gs pos="100000">
          <a:srgbClr val="C0C0C0">
            <a:gamma/>
            <a:tint val="0"/>
            <a:invGamma/>
          </a:srgbClr>
        </a:gs>
      </a:gsLst>
      <a:lin ang="5400000" scaled="1"/>
    </a:gra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L"/>
    </a:p>
  </c:txPr>
  <c:printSettings>
    <c:headerFooter alignWithMargins="0"/>
    <c:pageMargins b="1" l="0.75000000000001465" r="0.75000000000001465" t="1" header="0" footer="0"/>
    <c:pageSetup paperSize="304" orientation="landscape" horizontalDpi="300" verticalDpi="300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333399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ÍNDICE DE VEJEZ SEGÚN COMUNAS  AÑO 2014
SERVICIO DE SALUD ACONCAGUA</a:t>
            </a:r>
          </a:p>
        </c:rich>
      </c:tx>
      <c:layout>
        <c:manualLayout>
          <c:xMode val="edge"/>
          <c:yMode val="edge"/>
          <c:x val="0.19203771659690091"/>
          <c:y val="4.072398190045252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6651152951131794E-2"/>
          <c:y val="0.23076923076924097"/>
          <c:w val="0.90398229835505051"/>
          <c:h val="0.6515837104072395"/>
        </c:manualLayout>
      </c:layout>
      <c:barChart>
        <c:barDir val="col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8080FF"/>
                </a:gs>
                <a:gs pos="100000">
                  <a:srgbClr val="8080FF">
                    <a:gamma/>
                    <a:tint val="0"/>
                    <a:invGamma/>
                  </a:srgbClr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'12'!$J$7:$J$16</c:f>
              <c:strCache>
                <c:ptCount val="10"/>
                <c:pt idx="0">
                  <c:v>L.A.</c:v>
                </c:pt>
                <c:pt idx="1">
                  <c:v>S.E.</c:v>
                </c:pt>
                <c:pt idx="2">
                  <c:v>C.L.</c:v>
                </c:pt>
                <c:pt idx="3">
                  <c:v>RIN.</c:v>
                </c:pt>
                <c:pt idx="4">
                  <c:v>S.F.</c:v>
                </c:pt>
                <c:pt idx="5">
                  <c:v>PUT.</c:v>
                </c:pt>
                <c:pt idx="6">
                  <c:v>S.M.</c:v>
                </c:pt>
                <c:pt idx="7">
                  <c:v>PANQ.</c:v>
                </c:pt>
                <c:pt idx="8">
                  <c:v>LL.</c:v>
                </c:pt>
                <c:pt idx="9">
                  <c:v>CAT.</c:v>
                </c:pt>
              </c:strCache>
            </c:strRef>
          </c:cat>
          <c:val>
            <c:numRef>
              <c:f>'12'!$K$7:$K$16</c:f>
              <c:numCache>
                <c:formatCode>#,##0.00</c:formatCode>
                <c:ptCount val="10"/>
                <c:pt idx="0">
                  <c:v>47.755973202110631</c:v>
                </c:pt>
                <c:pt idx="1">
                  <c:v>51.806574300461826</c:v>
                </c:pt>
                <c:pt idx="2">
                  <c:v>56.192560175054709</c:v>
                </c:pt>
                <c:pt idx="3">
                  <c:v>58.513189448441253</c:v>
                </c:pt>
                <c:pt idx="4">
                  <c:v>48.375131484249572</c:v>
                </c:pt>
                <c:pt idx="5">
                  <c:v>57.770270270270274</c:v>
                </c:pt>
                <c:pt idx="6">
                  <c:v>49.880311190903647</c:v>
                </c:pt>
                <c:pt idx="7">
                  <c:v>46.65898617511521</c:v>
                </c:pt>
                <c:pt idx="8">
                  <c:v>49.582929194956357</c:v>
                </c:pt>
                <c:pt idx="9">
                  <c:v>55.658119658119652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91304152"/>
        <c:axId val="327796544"/>
      </c:barChart>
      <c:catAx>
        <c:axId val="29130415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L"/>
          </a:p>
        </c:txPr>
        <c:crossAx val="32779654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27796544"/>
        <c:scaling>
          <c:orientation val="minMax"/>
          <c:min val="2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L"/>
          </a:p>
        </c:txPr>
        <c:crossAx val="291304152"/>
        <c:crosses val="autoZero"/>
        <c:crossBetween val="between"/>
      </c:valAx>
      <c:spPr>
        <a:solidFill>
          <a:srgbClr val="E3E3E3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L"/>
    </a:p>
  </c:txPr>
  <c:printSettings>
    <c:headerFooter alignWithMargins="0">
      <c:oddHeader>&amp;A</c:oddHeader>
      <c:oddFooter>Página &amp;P</c:oddFooter>
    </c:headerFooter>
    <c:pageMargins b="1" l="0.75000000000001465" r="0.75000000000001465" t="1" header="0.511811024" footer="0.511811024"/>
    <c:pageSetup orientation="landscape" horizontalDpi="300" verticalDpi="300"/>
  </c:printSettings>
  <c:userShapes r:id="rId1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8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Numero  de Egresos  y  Promedio  de  Camas
Servicio de  Salud  Aconcagua
</a:t>
            </a:r>
          </a:p>
        </c:rich>
      </c:tx>
      <c:layout>
        <c:manualLayout>
          <c:xMode val="edge"/>
          <c:yMode val="edge"/>
          <c:x val="0.19720803338691378"/>
          <c:y val="3.832752613240417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71222034559829"/>
          <c:y val="0.3101045296167248"/>
          <c:w val="0.81182209856701015"/>
          <c:h val="0.4425087108013937"/>
        </c:manualLayout>
      </c:layout>
      <c:lineChart>
        <c:grouping val="standard"/>
        <c:varyColors val="0"/>
        <c:ser>
          <c:idx val="1"/>
          <c:order val="0"/>
          <c:tx>
            <c:v>N° de  Egresos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'91'!$B$9:$B$18</c:f>
              <c:numCache>
                <c:formatCode>General</c:formatCode>
                <c:ptCount val="10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</c:numCache>
            </c:numRef>
          </c:cat>
          <c:val>
            <c:numRef>
              <c:f>'91'!$E$9:$E$18</c:f>
              <c:numCache>
                <c:formatCode>#,##0</c:formatCode>
                <c:ptCount val="10"/>
                <c:pt idx="0">
                  <c:v>24193</c:v>
                </c:pt>
                <c:pt idx="1">
                  <c:v>24645</c:v>
                </c:pt>
                <c:pt idx="2">
                  <c:v>24688</c:v>
                </c:pt>
                <c:pt idx="3">
                  <c:v>23453</c:v>
                </c:pt>
                <c:pt idx="4">
                  <c:v>22222</c:v>
                </c:pt>
                <c:pt idx="5">
                  <c:v>22499</c:v>
                </c:pt>
                <c:pt idx="6">
                  <c:v>24229</c:v>
                </c:pt>
                <c:pt idx="7">
                  <c:v>24975</c:v>
                </c:pt>
                <c:pt idx="8">
                  <c:v>24175</c:v>
                </c:pt>
                <c:pt idx="9">
                  <c:v>24626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9181960"/>
        <c:axId val="339182352"/>
      </c:lineChart>
      <c:lineChart>
        <c:grouping val="standard"/>
        <c:varyColors val="0"/>
        <c:ser>
          <c:idx val="0"/>
          <c:order val="1"/>
          <c:tx>
            <c:v>Promedio  de  Camas</c:v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numRef>
              <c:f>'91'!$C$9:$C$18</c:f>
              <c:numCache>
                <c:formatCode>#,##0</c:formatCode>
                <c:ptCount val="10"/>
                <c:pt idx="0">
                  <c:v>957</c:v>
                </c:pt>
                <c:pt idx="1">
                  <c:v>957</c:v>
                </c:pt>
                <c:pt idx="2">
                  <c:v>957</c:v>
                </c:pt>
                <c:pt idx="3">
                  <c:v>957</c:v>
                </c:pt>
                <c:pt idx="4">
                  <c:v>939</c:v>
                </c:pt>
                <c:pt idx="5">
                  <c:v>939</c:v>
                </c:pt>
                <c:pt idx="6">
                  <c:v>816</c:v>
                </c:pt>
                <c:pt idx="7">
                  <c:v>816</c:v>
                </c:pt>
                <c:pt idx="8">
                  <c:v>816</c:v>
                </c:pt>
                <c:pt idx="9">
                  <c:v>829</c:v>
                </c:pt>
              </c:numCache>
            </c:numRef>
          </c:cat>
          <c:val>
            <c:numRef>
              <c:f>'91'!$D$9:$D$18</c:f>
              <c:numCache>
                <c:formatCode>#,##0</c:formatCode>
                <c:ptCount val="10"/>
                <c:pt idx="0">
                  <c:v>887</c:v>
                </c:pt>
                <c:pt idx="1">
                  <c:v>895</c:v>
                </c:pt>
                <c:pt idx="2">
                  <c:v>889</c:v>
                </c:pt>
                <c:pt idx="3">
                  <c:v>842</c:v>
                </c:pt>
                <c:pt idx="4">
                  <c:v>785</c:v>
                </c:pt>
                <c:pt idx="5">
                  <c:v>738</c:v>
                </c:pt>
                <c:pt idx="6">
                  <c:v>762</c:v>
                </c:pt>
                <c:pt idx="7">
                  <c:v>785</c:v>
                </c:pt>
                <c:pt idx="8">
                  <c:v>765.23013698630132</c:v>
                </c:pt>
                <c:pt idx="9">
                  <c:v>786.29041095890409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9182744"/>
        <c:axId val="339183136"/>
      </c:lineChart>
      <c:catAx>
        <c:axId val="3391819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Egresos</a:t>
                </a:r>
              </a:p>
            </c:rich>
          </c:tx>
          <c:layout>
            <c:manualLayout>
              <c:xMode val="edge"/>
              <c:yMode val="edge"/>
              <c:x val="3.1413586166223216E-2"/>
              <c:y val="0.2229965156794425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L"/>
          </a:p>
        </c:txPr>
        <c:crossAx val="33918235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39182352"/>
        <c:scaling>
          <c:orientation val="minMax"/>
          <c:max val="26000"/>
          <c:min val="21000"/>
        </c:scaling>
        <c:delete val="0"/>
        <c:axPos val="l"/>
        <c:numFmt formatCode="#,##0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L"/>
          </a:p>
        </c:txPr>
        <c:crossAx val="339181960"/>
        <c:crosses val="autoZero"/>
        <c:crossBetween val="between"/>
        <c:majorUnit val="2000"/>
        <c:minorUnit val="2000"/>
      </c:valAx>
      <c:catAx>
        <c:axId val="339182744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Prom. Camas</a:t>
                </a:r>
              </a:p>
            </c:rich>
          </c:tx>
          <c:layout>
            <c:manualLayout>
              <c:xMode val="edge"/>
              <c:yMode val="edge"/>
              <c:x val="0.84991414666650966"/>
              <c:y val="0.20209059233449544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1"/>
        <c:majorTickMark val="out"/>
        <c:minorTickMark val="none"/>
        <c:tickLblPos val="nextTo"/>
        <c:crossAx val="339183136"/>
        <c:crosses val="autoZero"/>
        <c:auto val="0"/>
        <c:lblAlgn val="ctr"/>
        <c:lblOffset val="100"/>
        <c:noMultiLvlLbl val="0"/>
      </c:catAx>
      <c:valAx>
        <c:axId val="339183136"/>
        <c:scaling>
          <c:orientation val="minMax"/>
          <c:max val="1000"/>
          <c:min val="700"/>
        </c:scaling>
        <c:delete val="0"/>
        <c:axPos val="r"/>
        <c:numFmt formatCode="#,##0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L"/>
          </a:p>
        </c:txPr>
        <c:crossAx val="339182744"/>
        <c:crosses val="max"/>
        <c:crossBetween val="between"/>
        <c:majorUnit val="5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5532313177834511"/>
          <c:y val="0.82578397212543564"/>
          <c:w val="0.68411969944580164"/>
          <c:h val="0.14634146341464191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L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L"/>
    </a:p>
  </c:txPr>
  <c:printSettings>
    <c:headerFooter alignWithMargins="0"/>
    <c:pageMargins b="1" l="0.75000000000001465" r="0.75000000000001465" t="1" header="0" footer="0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8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Indice  Ocupacional y Promedio  dias estada
Servicio de  Salud  Aconcagua
</a:t>
            </a:r>
          </a:p>
        </c:rich>
      </c:tx>
      <c:layout>
        <c:manualLayout>
          <c:xMode val="edge"/>
          <c:yMode val="edge"/>
          <c:x val="0.20000036837500573"/>
          <c:y val="3.87323943661971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210670591198231E-2"/>
          <c:y val="0.31338028169016618"/>
          <c:w val="0.81403648238158965"/>
          <c:h val="0.43661971830988211"/>
        </c:manualLayout>
      </c:layout>
      <c:lineChart>
        <c:grouping val="standard"/>
        <c:varyColors val="0"/>
        <c:ser>
          <c:idx val="1"/>
          <c:order val="0"/>
          <c:tx>
            <c:v>indice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'91'!$B$9:$B$18</c:f>
              <c:numCache>
                <c:formatCode>General</c:formatCode>
                <c:ptCount val="10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</c:numCache>
            </c:numRef>
          </c:cat>
          <c:val>
            <c:numRef>
              <c:f>'91'!$F$9:$F$18</c:f>
              <c:numCache>
                <c:formatCode>#,##0.0</c:formatCode>
                <c:ptCount val="10"/>
                <c:pt idx="0">
                  <c:v>75.8</c:v>
                </c:pt>
                <c:pt idx="1">
                  <c:v>74.2</c:v>
                </c:pt>
                <c:pt idx="2">
                  <c:v>73.900000000000006</c:v>
                </c:pt>
                <c:pt idx="3">
                  <c:v>74.8</c:v>
                </c:pt>
                <c:pt idx="4">
                  <c:v>75.552176885180216</c:v>
                </c:pt>
                <c:pt idx="5">
                  <c:v>73.5</c:v>
                </c:pt>
                <c:pt idx="6">
                  <c:v>76.3</c:v>
                </c:pt>
                <c:pt idx="7">
                  <c:v>79.400000000000006</c:v>
                </c:pt>
                <c:pt idx="8">
                  <c:v>80.425263775961383</c:v>
                </c:pt>
                <c:pt idx="9">
                  <c:v>81.47988125270038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9183920"/>
        <c:axId val="339184312"/>
      </c:lineChart>
      <c:lineChart>
        <c:grouping val="standard"/>
        <c:varyColors val="0"/>
        <c:ser>
          <c:idx val="0"/>
          <c:order val="1"/>
          <c:tx>
            <c:v>Promedio</c:v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numRef>
              <c:f>'91'!$G$9:$G$18</c:f>
              <c:numCache>
                <c:formatCode>0.00</c:formatCode>
                <c:ptCount val="10"/>
                <c:pt idx="0">
                  <c:v>15.88</c:v>
                </c:pt>
                <c:pt idx="1">
                  <c:v>16.8</c:v>
                </c:pt>
                <c:pt idx="2">
                  <c:v>16.63</c:v>
                </c:pt>
                <c:pt idx="3">
                  <c:v>9.01</c:v>
                </c:pt>
                <c:pt idx="4">
                  <c:v>14.115164816962068</c:v>
                </c:pt>
                <c:pt idx="5">
                  <c:v>10.52</c:v>
                </c:pt>
                <c:pt idx="6">
                  <c:v>14.34</c:v>
                </c:pt>
                <c:pt idx="7">
                  <c:v>10.76</c:v>
                </c:pt>
                <c:pt idx="8">
                  <c:v>9.5870941054808689</c:v>
                </c:pt>
                <c:pt idx="9">
                  <c:v>9.6418419556566235</c:v>
                </c:pt>
              </c:numCache>
            </c:numRef>
          </c:cat>
          <c:val>
            <c:numRef>
              <c:f>'91'!$G$9:$G$18</c:f>
              <c:numCache>
                <c:formatCode>0.00</c:formatCode>
                <c:ptCount val="10"/>
                <c:pt idx="0">
                  <c:v>15.88</c:v>
                </c:pt>
                <c:pt idx="1">
                  <c:v>16.8</c:v>
                </c:pt>
                <c:pt idx="2">
                  <c:v>16.63</c:v>
                </c:pt>
                <c:pt idx="3">
                  <c:v>9.01</c:v>
                </c:pt>
                <c:pt idx="4">
                  <c:v>14.115164816962068</c:v>
                </c:pt>
                <c:pt idx="5">
                  <c:v>10.52</c:v>
                </c:pt>
                <c:pt idx="6">
                  <c:v>14.34</c:v>
                </c:pt>
                <c:pt idx="7">
                  <c:v>10.76</c:v>
                </c:pt>
                <c:pt idx="8">
                  <c:v>9.5870941054808689</c:v>
                </c:pt>
                <c:pt idx="9">
                  <c:v>9.6418419556566235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9184704"/>
        <c:axId val="339185096"/>
      </c:lineChart>
      <c:catAx>
        <c:axId val="3391839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I. Ocup.</a:t>
                </a:r>
              </a:p>
            </c:rich>
          </c:tx>
          <c:layout>
            <c:manualLayout>
              <c:xMode val="edge"/>
              <c:yMode val="edge"/>
              <c:x val="1.4035087719298246E-2"/>
              <c:y val="0.2253521126760563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L"/>
          </a:p>
        </c:txPr>
        <c:crossAx val="33918431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39184312"/>
        <c:scaling>
          <c:orientation val="minMax"/>
          <c:max val="82"/>
          <c:min val="70"/>
        </c:scaling>
        <c:delete val="0"/>
        <c:axPos val="l"/>
        <c:numFmt formatCode="#,##0.0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L"/>
          </a:p>
        </c:txPr>
        <c:crossAx val="339183920"/>
        <c:crosses val="autoZero"/>
        <c:crossBetween val="between"/>
        <c:majorUnit val="5"/>
        <c:minorUnit val="5"/>
      </c:valAx>
      <c:catAx>
        <c:axId val="339184704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Pro. dias</a:t>
                </a:r>
              </a:p>
            </c:rich>
          </c:tx>
          <c:layout>
            <c:manualLayout>
              <c:xMode val="edge"/>
              <c:yMode val="edge"/>
              <c:x val="0.87017691209654113"/>
              <c:y val="0.20422535211268197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1"/>
        <c:majorTickMark val="out"/>
        <c:minorTickMark val="none"/>
        <c:tickLblPos val="nextTo"/>
        <c:crossAx val="339185096"/>
        <c:crosses val="autoZero"/>
        <c:auto val="0"/>
        <c:lblAlgn val="ctr"/>
        <c:lblOffset val="100"/>
        <c:noMultiLvlLbl val="0"/>
      </c:catAx>
      <c:valAx>
        <c:axId val="339185096"/>
        <c:scaling>
          <c:orientation val="minMax"/>
          <c:max val="20"/>
          <c:min val="0"/>
        </c:scaling>
        <c:delete val="0"/>
        <c:axPos val="r"/>
        <c:numFmt formatCode="0.00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L"/>
          </a:p>
        </c:txPr>
        <c:crossAx val="339184704"/>
        <c:crosses val="max"/>
        <c:crossBetween val="between"/>
        <c:majorUnit val="5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1228107012939862"/>
          <c:y val="0.84154929577464788"/>
          <c:w val="0.68772040337065066"/>
          <c:h val="0.14788732394365367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L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L"/>
    </a:p>
  </c:txPr>
  <c:printSettings>
    <c:headerFooter alignWithMargins="0"/>
    <c:pageMargins b="1" l="0.75000000000001465" r="0.75000000000001465" t="1" header="0" footer="0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8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Numero  de Egresos  y  Promedio  de  Camas
Hospital  San  Camilo
</a:t>
            </a:r>
          </a:p>
        </c:rich>
      </c:tx>
      <c:layout>
        <c:manualLayout>
          <c:xMode val="edge"/>
          <c:yMode val="edge"/>
          <c:x val="0.21568661760417202"/>
          <c:y val="3.606557377049180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803937212676167E-2"/>
          <c:y val="0.29180327868852457"/>
          <c:w val="0.82189673632932692"/>
          <c:h val="0.47213114754098329"/>
        </c:manualLayout>
      </c:layout>
      <c:lineChart>
        <c:grouping val="standard"/>
        <c:varyColors val="0"/>
        <c:ser>
          <c:idx val="1"/>
          <c:order val="0"/>
          <c:tx>
            <c:v>N° de  Egresos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'92'!$B$9:$B$18</c:f>
              <c:numCache>
                <c:formatCode>General</c:formatCode>
                <c:ptCount val="10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</c:numCache>
            </c:numRef>
          </c:cat>
          <c:val>
            <c:numRef>
              <c:f>'92'!$E$9:$E$18</c:f>
              <c:numCache>
                <c:formatCode>#,##0</c:formatCode>
                <c:ptCount val="10"/>
                <c:pt idx="0">
                  <c:v>11015</c:v>
                </c:pt>
                <c:pt idx="1">
                  <c:v>11036</c:v>
                </c:pt>
                <c:pt idx="2">
                  <c:v>11154</c:v>
                </c:pt>
                <c:pt idx="3">
                  <c:v>11106</c:v>
                </c:pt>
                <c:pt idx="4">
                  <c:v>10865</c:v>
                </c:pt>
                <c:pt idx="5">
                  <c:v>10192</c:v>
                </c:pt>
                <c:pt idx="6">
                  <c:v>10500</c:v>
                </c:pt>
                <c:pt idx="7">
                  <c:v>11443</c:v>
                </c:pt>
                <c:pt idx="8">
                  <c:v>11340</c:v>
                </c:pt>
                <c:pt idx="9">
                  <c:v>11948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8180496"/>
        <c:axId val="338180888"/>
      </c:lineChart>
      <c:lineChart>
        <c:grouping val="standard"/>
        <c:varyColors val="0"/>
        <c:ser>
          <c:idx val="0"/>
          <c:order val="1"/>
          <c:tx>
            <c:v>Promedio  de  Camas</c:v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numRef>
              <c:f>'92'!$C$9:$C$18</c:f>
              <c:numCache>
                <c:formatCode>General</c:formatCode>
                <c:ptCount val="10"/>
                <c:pt idx="0">
                  <c:v>232</c:v>
                </c:pt>
                <c:pt idx="1">
                  <c:v>232</c:v>
                </c:pt>
                <c:pt idx="2">
                  <c:v>232</c:v>
                </c:pt>
                <c:pt idx="3">
                  <c:v>232</c:v>
                </c:pt>
                <c:pt idx="4">
                  <c:v>238</c:v>
                </c:pt>
                <c:pt idx="5">
                  <c:v>238</c:v>
                </c:pt>
                <c:pt idx="6">
                  <c:v>226</c:v>
                </c:pt>
                <c:pt idx="7">
                  <c:v>226</c:v>
                </c:pt>
                <c:pt idx="8">
                  <c:v>226</c:v>
                </c:pt>
                <c:pt idx="9">
                  <c:v>234</c:v>
                </c:pt>
              </c:numCache>
            </c:numRef>
          </c:cat>
          <c:val>
            <c:numRef>
              <c:f>'92'!$D$9:$D$18</c:f>
              <c:numCache>
                <c:formatCode>General</c:formatCode>
                <c:ptCount val="10"/>
                <c:pt idx="0">
                  <c:v>222</c:v>
                </c:pt>
                <c:pt idx="1">
                  <c:v>221</c:v>
                </c:pt>
                <c:pt idx="2">
                  <c:v>224</c:v>
                </c:pt>
                <c:pt idx="3">
                  <c:v>229</c:v>
                </c:pt>
                <c:pt idx="4">
                  <c:v>233</c:v>
                </c:pt>
                <c:pt idx="5">
                  <c:v>228</c:v>
                </c:pt>
                <c:pt idx="6">
                  <c:v>224</c:v>
                </c:pt>
                <c:pt idx="7">
                  <c:v>226</c:v>
                </c:pt>
                <c:pt idx="8" formatCode="0">
                  <c:v>225.85479452054796</c:v>
                </c:pt>
                <c:pt idx="9" formatCode="0">
                  <c:v>232.51232876712328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8181280"/>
        <c:axId val="338181672"/>
      </c:lineChart>
      <c:catAx>
        <c:axId val="3381804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Egresos</a:t>
                </a:r>
              </a:p>
            </c:rich>
          </c:tx>
          <c:layout>
            <c:manualLayout>
              <c:xMode val="edge"/>
              <c:yMode val="edge"/>
              <c:x val="2.4509803921568631E-2"/>
              <c:y val="0.2032786885245904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L"/>
          </a:p>
        </c:txPr>
        <c:crossAx val="33818088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38180888"/>
        <c:scaling>
          <c:orientation val="minMax"/>
          <c:max val="12000"/>
          <c:min val="10100"/>
        </c:scaling>
        <c:delete val="0"/>
        <c:axPos val="l"/>
        <c:numFmt formatCode="#,##0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L"/>
          </a:p>
        </c:txPr>
        <c:crossAx val="338180496"/>
        <c:crosses val="autoZero"/>
        <c:crossBetween val="between"/>
        <c:majorUnit val="300"/>
        <c:minorUnit val="300"/>
      </c:valAx>
      <c:catAx>
        <c:axId val="338181280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Prom. Camas</a:t>
                </a:r>
              </a:p>
            </c:rich>
          </c:tx>
          <c:layout>
            <c:manualLayout>
              <c:xMode val="edge"/>
              <c:yMode val="edge"/>
              <c:x val="0.86601444427289764"/>
              <c:y val="0.1901639344262324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338181672"/>
        <c:crosses val="autoZero"/>
        <c:auto val="0"/>
        <c:lblAlgn val="ctr"/>
        <c:lblOffset val="100"/>
        <c:noMultiLvlLbl val="0"/>
      </c:catAx>
      <c:valAx>
        <c:axId val="338181672"/>
        <c:scaling>
          <c:orientation val="minMax"/>
          <c:max val="240"/>
          <c:min val="210"/>
        </c:scaling>
        <c:delete val="0"/>
        <c:axPos val="r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L"/>
          </a:p>
        </c:txPr>
        <c:crossAx val="338181280"/>
        <c:crosses val="max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8300687904208054"/>
          <c:y val="0.83606557377049184"/>
          <c:w val="0.64052390510009771"/>
          <c:h val="0.13770491803278884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L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L"/>
    </a:p>
  </c:txPr>
  <c:printSettings>
    <c:headerFooter alignWithMargins="0"/>
    <c:pageMargins b="1" l="0.75000000000001465" r="0.75000000000001465" t="1" header="0" footer="0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8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Indice  Ocupacional y Promedio  dias estada
Hospital  San  Camilo
</a:t>
            </a:r>
          </a:p>
        </c:rich>
      </c:tx>
      <c:layout>
        <c:manualLayout>
          <c:xMode val="edge"/>
          <c:yMode val="edge"/>
          <c:x val="0.22003318550698694"/>
          <c:y val="3.654485049833887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8817860378598989E-2"/>
          <c:y val="0.29568154277658909"/>
          <c:w val="0.83579772776472661"/>
          <c:h val="0.46511703358115125"/>
        </c:manualLayout>
      </c:layout>
      <c:lineChart>
        <c:grouping val="standard"/>
        <c:varyColors val="0"/>
        <c:ser>
          <c:idx val="1"/>
          <c:order val="0"/>
          <c:tx>
            <c:v>indice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'92'!$B$9:$B$18</c:f>
              <c:numCache>
                <c:formatCode>General</c:formatCode>
                <c:ptCount val="10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</c:numCache>
            </c:numRef>
          </c:cat>
          <c:val>
            <c:numRef>
              <c:f>'92'!$F$9:$F$18</c:f>
              <c:numCache>
                <c:formatCode>#,##0.0</c:formatCode>
                <c:ptCount val="10"/>
                <c:pt idx="0">
                  <c:v>69.3</c:v>
                </c:pt>
                <c:pt idx="1">
                  <c:v>70.7</c:v>
                </c:pt>
                <c:pt idx="2">
                  <c:v>71.776185468685043</c:v>
                </c:pt>
                <c:pt idx="3">
                  <c:v>71.5</c:v>
                </c:pt>
                <c:pt idx="4">
                  <c:v>73.900000000000006</c:v>
                </c:pt>
                <c:pt idx="5">
                  <c:v>66.399807379762834</c:v>
                </c:pt>
                <c:pt idx="6">
                  <c:v>68.17643395327822</c:v>
                </c:pt>
                <c:pt idx="7">
                  <c:v>68.993356931581246</c:v>
                </c:pt>
                <c:pt idx="8">
                  <c:v>69.163118502614111</c:v>
                </c:pt>
                <c:pt idx="9">
                  <c:v>69.898782801324415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8182456"/>
        <c:axId val="338182848"/>
      </c:lineChart>
      <c:lineChart>
        <c:grouping val="standard"/>
        <c:varyColors val="0"/>
        <c:ser>
          <c:idx val="0"/>
          <c:order val="1"/>
          <c:tx>
            <c:v>Promedio</c:v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numRef>
              <c:f>'92'!$G$9:$G$18</c:f>
              <c:numCache>
                <c:formatCode>0.00</c:formatCode>
                <c:ptCount val="10"/>
                <c:pt idx="0">
                  <c:v>5.18</c:v>
                </c:pt>
                <c:pt idx="1">
                  <c:v>5.25</c:v>
                </c:pt>
                <c:pt idx="2">
                  <c:v>5.3102922718307335</c:v>
                </c:pt>
                <c:pt idx="3">
                  <c:v>5.42</c:v>
                </c:pt>
                <c:pt idx="4">
                  <c:v>5.27</c:v>
                </c:pt>
                <c:pt idx="5">
                  <c:v>5.3011185243328098</c:v>
                </c:pt>
                <c:pt idx="6">
                  <c:v>5.3314285714285718</c:v>
                </c:pt>
                <c:pt idx="7">
                  <c:v>4.9829590142445159</c:v>
                </c:pt>
                <c:pt idx="8">
                  <c:v>5.0448853615520282</c:v>
                </c:pt>
                <c:pt idx="9">
                  <c:v>5.0907264814194848</c:v>
                </c:pt>
              </c:numCache>
            </c:numRef>
          </c:cat>
          <c:val>
            <c:numRef>
              <c:f>'92'!$G$9:$G$18</c:f>
              <c:numCache>
                <c:formatCode>0.00</c:formatCode>
                <c:ptCount val="10"/>
                <c:pt idx="0">
                  <c:v>5.18</c:v>
                </c:pt>
                <c:pt idx="1">
                  <c:v>5.25</c:v>
                </c:pt>
                <c:pt idx="2">
                  <c:v>5.3102922718307335</c:v>
                </c:pt>
                <c:pt idx="3">
                  <c:v>5.42</c:v>
                </c:pt>
                <c:pt idx="4">
                  <c:v>5.27</c:v>
                </c:pt>
                <c:pt idx="5">
                  <c:v>5.3011185243328098</c:v>
                </c:pt>
                <c:pt idx="6">
                  <c:v>5.3314285714285718</c:v>
                </c:pt>
                <c:pt idx="7">
                  <c:v>4.9829590142445159</c:v>
                </c:pt>
                <c:pt idx="8">
                  <c:v>5.0448853615520282</c:v>
                </c:pt>
                <c:pt idx="9">
                  <c:v>5.0907264814194848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8183240"/>
        <c:axId val="338183632"/>
      </c:lineChart>
      <c:catAx>
        <c:axId val="3381824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I. Ocup.</a:t>
                </a:r>
              </a:p>
            </c:rich>
          </c:tx>
          <c:layout>
            <c:manualLayout>
              <c:xMode val="edge"/>
              <c:yMode val="edge"/>
              <c:x val="9.8522167487692311E-3"/>
              <c:y val="0.205980415238792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L"/>
          </a:p>
        </c:txPr>
        <c:crossAx val="33818284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38182848"/>
        <c:scaling>
          <c:orientation val="minMax"/>
          <c:max val="74"/>
          <c:min val="60"/>
        </c:scaling>
        <c:delete val="0"/>
        <c:axPos val="l"/>
        <c:numFmt formatCode="#,##0.0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L"/>
          </a:p>
        </c:txPr>
        <c:crossAx val="338182456"/>
        <c:crosses val="autoZero"/>
        <c:crossBetween val="between"/>
        <c:majorUnit val="2"/>
        <c:minorUnit val="2"/>
      </c:valAx>
      <c:catAx>
        <c:axId val="338183240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Pro. dias</a:t>
                </a:r>
              </a:p>
            </c:rich>
          </c:tx>
          <c:layout>
            <c:manualLayout>
              <c:xMode val="edge"/>
              <c:yMode val="edge"/>
              <c:x val="0.88998495877670458"/>
              <c:y val="0.19269137869394232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1"/>
        <c:majorTickMark val="out"/>
        <c:minorTickMark val="none"/>
        <c:tickLblPos val="nextTo"/>
        <c:crossAx val="338183632"/>
        <c:crosses val="autoZero"/>
        <c:auto val="0"/>
        <c:lblAlgn val="ctr"/>
        <c:lblOffset val="100"/>
        <c:noMultiLvlLbl val="0"/>
      </c:catAx>
      <c:valAx>
        <c:axId val="338183632"/>
        <c:scaling>
          <c:orientation val="minMax"/>
          <c:max val="5.5"/>
          <c:min val="4.5"/>
        </c:scaling>
        <c:delete val="0"/>
        <c:axPos val="r"/>
        <c:numFmt formatCode="0.00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L"/>
          </a:p>
        </c:txPr>
        <c:crossAx val="338183240"/>
        <c:crosses val="max"/>
        <c:crossBetween val="between"/>
        <c:majorUnit val="0.5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3481151063013672"/>
          <c:y val="0.85049973404490065"/>
          <c:w val="0.64367919527302386"/>
          <c:h val="0.13953523251451971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L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L"/>
    </a:p>
  </c:txPr>
  <c:printSettings>
    <c:headerFooter alignWithMargins="0"/>
    <c:pageMargins b="1" l="0.75000000000001465" r="0.75000000000001465" t="1" header="0" footer="0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8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Numero  de Egresos  y  Promedio  de  Camas
Hospital  Los  Andes
</a:t>
            </a:r>
          </a:p>
        </c:rich>
      </c:tx>
      <c:layout>
        <c:manualLayout>
          <c:xMode val="edge"/>
          <c:yMode val="edge"/>
          <c:x val="0.21322314049587579"/>
          <c:y val="3.606557377049180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9173553719008253E-2"/>
          <c:y val="0.29180327868852457"/>
          <c:w val="0.81983471074380165"/>
          <c:h val="0.47213114754098329"/>
        </c:manualLayout>
      </c:layout>
      <c:lineChart>
        <c:grouping val="standard"/>
        <c:varyColors val="0"/>
        <c:ser>
          <c:idx val="1"/>
          <c:order val="0"/>
          <c:tx>
            <c:v>N° de  Egresos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'93'!$B$9:$B$18</c:f>
              <c:numCache>
                <c:formatCode>General</c:formatCode>
                <c:ptCount val="10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</c:numCache>
            </c:numRef>
          </c:cat>
          <c:val>
            <c:numRef>
              <c:f>'93'!$E$9:$E$18</c:f>
              <c:numCache>
                <c:formatCode>#,##0</c:formatCode>
                <c:ptCount val="10"/>
                <c:pt idx="0">
                  <c:v>9800</c:v>
                </c:pt>
                <c:pt idx="1">
                  <c:v>10001</c:v>
                </c:pt>
                <c:pt idx="2">
                  <c:v>9882</c:v>
                </c:pt>
                <c:pt idx="3">
                  <c:v>8940</c:v>
                </c:pt>
                <c:pt idx="4">
                  <c:v>7635</c:v>
                </c:pt>
                <c:pt idx="5">
                  <c:v>9004</c:v>
                </c:pt>
                <c:pt idx="6">
                  <c:v>10483</c:v>
                </c:pt>
                <c:pt idx="7">
                  <c:v>10303</c:v>
                </c:pt>
                <c:pt idx="8">
                  <c:v>10041</c:v>
                </c:pt>
                <c:pt idx="9">
                  <c:v>9671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8184416"/>
        <c:axId val="338184808"/>
      </c:lineChart>
      <c:lineChart>
        <c:grouping val="standard"/>
        <c:varyColors val="0"/>
        <c:ser>
          <c:idx val="0"/>
          <c:order val="1"/>
          <c:tx>
            <c:v>Promedio  de  Camas</c:v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numRef>
              <c:f>'93'!$C$9:$C$18</c:f>
              <c:numCache>
                <c:formatCode>General</c:formatCode>
                <c:ptCount val="10"/>
                <c:pt idx="0">
                  <c:v>214</c:v>
                </c:pt>
                <c:pt idx="1">
                  <c:v>214</c:v>
                </c:pt>
                <c:pt idx="2">
                  <c:v>214</c:v>
                </c:pt>
                <c:pt idx="3">
                  <c:v>214</c:v>
                </c:pt>
                <c:pt idx="4">
                  <c:v>214</c:v>
                </c:pt>
                <c:pt idx="5">
                  <c:v>214</c:v>
                </c:pt>
                <c:pt idx="6">
                  <c:v>163</c:v>
                </c:pt>
                <c:pt idx="7">
                  <c:v>163</c:v>
                </c:pt>
                <c:pt idx="8">
                  <c:v>163</c:v>
                </c:pt>
                <c:pt idx="9">
                  <c:v>168</c:v>
                </c:pt>
              </c:numCache>
            </c:numRef>
          </c:cat>
          <c:val>
            <c:numRef>
              <c:f>'93'!$D$9:$D$18</c:f>
              <c:numCache>
                <c:formatCode>General</c:formatCode>
                <c:ptCount val="10"/>
                <c:pt idx="0">
                  <c:v>195</c:v>
                </c:pt>
                <c:pt idx="1">
                  <c:v>201</c:v>
                </c:pt>
                <c:pt idx="2">
                  <c:v>203</c:v>
                </c:pt>
                <c:pt idx="3">
                  <c:v>152</c:v>
                </c:pt>
                <c:pt idx="4">
                  <c:v>122</c:v>
                </c:pt>
                <c:pt idx="5">
                  <c:v>129</c:v>
                </c:pt>
                <c:pt idx="6">
                  <c:v>158</c:v>
                </c:pt>
                <c:pt idx="7">
                  <c:v>158</c:v>
                </c:pt>
                <c:pt idx="8" formatCode="0">
                  <c:v>156.38082191780822</c:v>
                </c:pt>
                <c:pt idx="9" formatCode="0">
                  <c:v>160.48219178082192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8185200"/>
        <c:axId val="338185592"/>
      </c:lineChart>
      <c:catAx>
        <c:axId val="3381844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Egresos</a:t>
                </a:r>
              </a:p>
            </c:rich>
          </c:tx>
          <c:layout>
            <c:manualLayout>
              <c:xMode val="edge"/>
              <c:yMode val="edge"/>
              <c:x val="2.644628099173554E-2"/>
              <c:y val="0.2032786885245904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L"/>
          </a:p>
        </c:txPr>
        <c:crossAx val="33818480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38184808"/>
        <c:scaling>
          <c:orientation val="minMax"/>
          <c:max val="10500"/>
          <c:min val="7000"/>
        </c:scaling>
        <c:delete val="0"/>
        <c:axPos val="l"/>
        <c:numFmt formatCode="#,##0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L"/>
          </a:p>
        </c:txPr>
        <c:crossAx val="338184416"/>
        <c:crosses val="autoZero"/>
        <c:crossBetween val="between"/>
        <c:majorUnit val="500"/>
        <c:minorUnit val="500"/>
      </c:valAx>
      <c:catAx>
        <c:axId val="338185200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Camas</a:t>
                </a:r>
              </a:p>
            </c:rich>
          </c:tx>
          <c:layout>
            <c:manualLayout>
              <c:xMode val="edge"/>
              <c:yMode val="edge"/>
              <c:x val="0.90247933884297449"/>
              <c:y val="0.1901639344262324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338185592"/>
        <c:crosses val="autoZero"/>
        <c:auto val="0"/>
        <c:lblAlgn val="ctr"/>
        <c:lblOffset val="100"/>
        <c:noMultiLvlLbl val="0"/>
      </c:catAx>
      <c:valAx>
        <c:axId val="338185592"/>
        <c:scaling>
          <c:orientation val="minMax"/>
          <c:max val="220"/>
          <c:min val="100"/>
        </c:scaling>
        <c:delete val="0"/>
        <c:axPos val="r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L"/>
          </a:p>
        </c:txPr>
        <c:crossAx val="338185200"/>
        <c:crosses val="max"/>
        <c:crossBetween val="between"/>
        <c:majorUnit val="5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8016528925620529"/>
          <c:y val="0.83606557377049184"/>
          <c:w val="0.64793388429752363"/>
          <c:h val="0.13770491803278884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L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L"/>
    </a:p>
  </c:txPr>
  <c:printSettings>
    <c:headerFooter alignWithMargins="0"/>
    <c:pageMargins b="1" l="0.75000000000001465" r="0.75000000000001465" t="1" header="0" footer="0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8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Indice  Ocupacional y Promedio  dias estada
Hospital  Los  Andes
</a:t>
            </a:r>
          </a:p>
        </c:rich>
      </c:tx>
      <c:layout>
        <c:manualLayout>
          <c:xMode val="edge"/>
          <c:yMode val="edge"/>
          <c:x val="0.21594684385383256"/>
          <c:y val="3.654485049833887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734219269103124E-2"/>
          <c:y val="0.29568154277658909"/>
          <c:w val="0.83388704318936879"/>
          <c:h val="0.46511703358115125"/>
        </c:manualLayout>
      </c:layout>
      <c:lineChart>
        <c:grouping val="standard"/>
        <c:varyColors val="0"/>
        <c:ser>
          <c:idx val="1"/>
          <c:order val="0"/>
          <c:tx>
            <c:v>indice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'93'!$B$9:$B$18</c:f>
              <c:numCache>
                <c:formatCode>General</c:formatCode>
                <c:ptCount val="10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</c:numCache>
            </c:numRef>
          </c:cat>
          <c:val>
            <c:numRef>
              <c:f>'93'!$F$9:$F$18</c:f>
              <c:numCache>
                <c:formatCode>#,##0.0</c:formatCode>
                <c:ptCount val="10"/>
                <c:pt idx="0">
                  <c:v>64.599999999999994</c:v>
                </c:pt>
                <c:pt idx="1">
                  <c:v>62.7</c:v>
                </c:pt>
                <c:pt idx="2">
                  <c:v>64.468839768574085</c:v>
                </c:pt>
                <c:pt idx="3">
                  <c:v>67.599999999999994</c:v>
                </c:pt>
                <c:pt idx="4">
                  <c:v>74.8</c:v>
                </c:pt>
                <c:pt idx="5">
                  <c:v>80.626210595772761</c:v>
                </c:pt>
                <c:pt idx="6">
                  <c:v>82.908376234868513</c:v>
                </c:pt>
                <c:pt idx="7">
                  <c:v>80.20476635190758</c:v>
                </c:pt>
                <c:pt idx="8">
                  <c:v>80.940450953941038</c:v>
                </c:pt>
                <c:pt idx="9">
                  <c:v>78.718246380770282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8186376"/>
        <c:axId val="338186768"/>
      </c:lineChart>
      <c:lineChart>
        <c:grouping val="standard"/>
        <c:varyColors val="0"/>
        <c:ser>
          <c:idx val="0"/>
          <c:order val="1"/>
          <c:tx>
            <c:v>Promedio</c:v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numRef>
              <c:f>'93'!$G$9:$G$18</c:f>
              <c:numCache>
                <c:formatCode>0.00</c:formatCode>
                <c:ptCount val="10"/>
                <c:pt idx="0">
                  <c:v>4.68</c:v>
                </c:pt>
                <c:pt idx="1">
                  <c:v>4.63</c:v>
                </c:pt>
                <c:pt idx="2">
                  <c:v>4.8595426027120014</c:v>
                </c:pt>
                <c:pt idx="3">
                  <c:v>4.18</c:v>
                </c:pt>
                <c:pt idx="4">
                  <c:v>4.45</c:v>
                </c:pt>
                <c:pt idx="5">
                  <c:v>4.5062194580186583</c:v>
                </c:pt>
                <c:pt idx="6">
                  <c:v>4.5489840694457691</c:v>
                </c:pt>
                <c:pt idx="7">
                  <c:v>4.5715810928855669</c:v>
                </c:pt>
                <c:pt idx="8">
                  <c:v>4.6188626630813667</c:v>
                </c:pt>
                <c:pt idx="9">
                  <c:v>4.7527660014476272</c:v>
                </c:pt>
              </c:numCache>
            </c:numRef>
          </c:cat>
          <c:val>
            <c:numRef>
              <c:f>'93'!$G$9:$G$18</c:f>
              <c:numCache>
                <c:formatCode>0.00</c:formatCode>
                <c:ptCount val="10"/>
                <c:pt idx="0">
                  <c:v>4.68</c:v>
                </c:pt>
                <c:pt idx="1">
                  <c:v>4.63</c:v>
                </c:pt>
                <c:pt idx="2">
                  <c:v>4.8595426027120014</c:v>
                </c:pt>
                <c:pt idx="3">
                  <c:v>4.18</c:v>
                </c:pt>
                <c:pt idx="4">
                  <c:v>4.45</c:v>
                </c:pt>
                <c:pt idx="5">
                  <c:v>4.5062194580186583</c:v>
                </c:pt>
                <c:pt idx="6">
                  <c:v>4.5489840694457691</c:v>
                </c:pt>
                <c:pt idx="7">
                  <c:v>4.5715810928855669</c:v>
                </c:pt>
                <c:pt idx="8">
                  <c:v>4.6188626630813667</c:v>
                </c:pt>
                <c:pt idx="9">
                  <c:v>4.7527660014476272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8187160"/>
        <c:axId val="338187552"/>
      </c:lineChart>
      <c:catAx>
        <c:axId val="3381863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I. Ocup.</a:t>
                </a:r>
              </a:p>
            </c:rich>
          </c:tx>
          <c:layout>
            <c:manualLayout>
              <c:xMode val="edge"/>
              <c:yMode val="edge"/>
              <c:x val="1.1627906976744136E-2"/>
              <c:y val="0.205980415238792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L"/>
          </a:p>
        </c:txPr>
        <c:crossAx val="33818676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38186768"/>
        <c:scaling>
          <c:orientation val="minMax"/>
          <c:max val="85"/>
          <c:min val="60"/>
        </c:scaling>
        <c:delete val="0"/>
        <c:axPos val="l"/>
        <c:numFmt formatCode="#,##0.0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L"/>
          </a:p>
        </c:txPr>
        <c:crossAx val="338186376"/>
        <c:crosses val="autoZero"/>
        <c:crossBetween val="between"/>
        <c:majorUnit val="5"/>
        <c:minorUnit val="5"/>
      </c:valAx>
      <c:catAx>
        <c:axId val="338187160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Pro. dias</a:t>
                </a:r>
              </a:p>
            </c:rich>
          </c:tx>
          <c:layout>
            <c:manualLayout>
              <c:xMode val="edge"/>
              <c:yMode val="edge"/>
              <c:x val="0.88870431893687762"/>
              <c:y val="0.19269137869394232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1"/>
        <c:majorTickMark val="out"/>
        <c:minorTickMark val="none"/>
        <c:tickLblPos val="nextTo"/>
        <c:crossAx val="338187552"/>
        <c:crosses val="autoZero"/>
        <c:auto val="0"/>
        <c:lblAlgn val="ctr"/>
        <c:lblOffset val="100"/>
        <c:noMultiLvlLbl val="0"/>
      </c:catAx>
      <c:valAx>
        <c:axId val="338187552"/>
        <c:scaling>
          <c:orientation val="minMax"/>
          <c:max val="5.5"/>
          <c:min val="4"/>
        </c:scaling>
        <c:delete val="0"/>
        <c:axPos val="r"/>
        <c:numFmt formatCode="0.00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L"/>
          </a:p>
        </c:txPr>
        <c:crossAx val="338187160"/>
        <c:crosses val="max"/>
        <c:crossBetween val="between"/>
        <c:majorUnit val="0.5"/>
        <c:minorUnit val="0.5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2425249169435221"/>
          <c:y val="0.85049973404490065"/>
          <c:w val="0.65116279069767469"/>
          <c:h val="0.13953523251451971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L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L"/>
    </a:p>
  </c:txPr>
  <c:printSettings>
    <c:headerFooter alignWithMargins="0"/>
    <c:pageMargins b="1" l="0.75000000000001465" r="0.75000000000001465" t="1" header="0" footer="0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8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Numero  de Egresos  y  Promedio  de  Camas
Hospital Llay Llay
</a:t>
            </a:r>
          </a:p>
        </c:rich>
      </c:tx>
      <c:layout>
        <c:manualLayout>
          <c:xMode val="edge"/>
          <c:yMode val="edge"/>
          <c:x val="0.21696591351855896"/>
          <c:y val="3.606557377049180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091424165405247E-2"/>
          <c:y val="0.29180327868852457"/>
          <c:w val="0.84176249758052291"/>
          <c:h val="0.47213114754098329"/>
        </c:manualLayout>
      </c:layout>
      <c:lineChart>
        <c:grouping val="standard"/>
        <c:varyColors val="0"/>
        <c:ser>
          <c:idx val="1"/>
          <c:order val="0"/>
          <c:tx>
            <c:v>N° de  Egresos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'94'!$B$9:$B$18</c:f>
              <c:numCache>
                <c:formatCode>General</c:formatCode>
                <c:ptCount val="10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</c:numCache>
            </c:numRef>
          </c:cat>
          <c:val>
            <c:numRef>
              <c:f>'94'!$E$9:$E$18</c:f>
              <c:numCache>
                <c:formatCode>#,##0</c:formatCode>
                <c:ptCount val="10"/>
                <c:pt idx="0">
                  <c:v>1890</c:v>
                </c:pt>
                <c:pt idx="1">
                  <c:v>1956</c:v>
                </c:pt>
                <c:pt idx="2">
                  <c:v>1960</c:v>
                </c:pt>
                <c:pt idx="3">
                  <c:v>1671</c:v>
                </c:pt>
                <c:pt idx="4">
                  <c:v>1989</c:v>
                </c:pt>
                <c:pt idx="5">
                  <c:v>2091</c:v>
                </c:pt>
                <c:pt idx="6">
                  <c:v>1863</c:v>
                </c:pt>
                <c:pt idx="7">
                  <c:v>1709</c:v>
                </c:pt>
                <c:pt idx="8">
                  <c:v>1248</c:v>
                </c:pt>
                <c:pt idx="9">
                  <c:v>1480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0564880"/>
        <c:axId val="340565272"/>
      </c:lineChart>
      <c:lineChart>
        <c:grouping val="standard"/>
        <c:varyColors val="0"/>
        <c:ser>
          <c:idx val="0"/>
          <c:order val="1"/>
          <c:tx>
            <c:v>Promedio  de  Camas</c:v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numRef>
              <c:f>'94'!$C$9:$C$18</c:f>
              <c:numCache>
                <c:formatCode>General</c:formatCode>
                <c:ptCount val="10"/>
                <c:pt idx="0">
                  <c:v>69</c:v>
                </c:pt>
                <c:pt idx="1">
                  <c:v>69</c:v>
                </c:pt>
                <c:pt idx="2">
                  <c:v>69</c:v>
                </c:pt>
                <c:pt idx="3">
                  <c:v>69</c:v>
                </c:pt>
                <c:pt idx="4">
                  <c:v>45</c:v>
                </c:pt>
                <c:pt idx="5">
                  <c:v>45</c:v>
                </c:pt>
                <c:pt idx="6">
                  <c:v>45</c:v>
                </c:pt>
                <c:pt idx="7">
                  <c:v>45</c:v>
                </c:pt>
                <c:pt idx="8">
                  <c:v>45</c:v>
                </c:pt>
                <c:pt idx="9">
                  <c:v>45</c:v>
                </c:pt>
              </c:numCache>
            </c:numRef>
          </c:cat>
          <c:val>
            <c:numRef>
              <c:f>'94'!$D$9:$D$18</c:f>
              <c:numCache>
                <c:formatCode>General</c:formatCode>
                <c:ptCount val="10"/>
                <c:pt idx="0">
                  <c:v>68</c:v>
                </c:pt>
                <c:pt idx="1">
                  <c:v>60</c:v>
                </c:pt>
                <c:pt idx="2">
                  <c:v>55</c:v>
                </c:pt>
                <c:pt idx="3">
                  <c:v>46</c:v>
                </c:pt>
                <c:pt idx="4">
                  <c:v>45</c:v>
                </c:pt>
                <c:pt idx="5">
                  <c:v>44</c:v>
                </c:pt>
                <c:pt idx="6">
                  <c:v>43</c:v>
                </c:pt>
                <c:pt idx="7">
                  <c:v>44</c:v>
                </c:pt>
                <c:pt idx="8" formatCode="0">
                  <c:v>34.460273972602742</c:v>
                </c:pt>
                <c:pt idx="9" formatCode="0">
                  <c:v>43.794520547945204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0565664"/>
        <c:axId val="340566056"/>
      </c:lineChart>
      <c:catAx>
        <c:axId val="3405648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Egresos</a:t>
                </a:r>
              </a:p>
            </c:rich>
          </c:tx>
          <c:layout>
            <c:manualLayout>
              <c:xMode val="edge"/>
              <c:yMode val="edge"/>
              <c:x val="1.468189233278956E-2"/>
              <c:y val="0.2032786885245904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L"/>
          </a:p>
        </c:txPr>
        <c:crossAx val="34056527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40565272"/>
        <c:scaling>
          <c:orientation val="minMax"/>
          <c:max val="2600"/>
          <c:min val="1200"/>
        </c:scaling>
        <c:delete val="0"/>
        <c:axPos val="l"/>
        <c:numFmt formatCode="#,##0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L"/>
          </a:p>
        </c:txPr>
        <c:crossAx val="340564880"/>
        <c:crosses val="autoZero"/>
        <c:crossBetween val="between"/>
        <c:majorUnit val="200"/>
        <c:minorUnit val="100"/>
      </c:valAx>
      <c:catAx>
        <c:axId val="340565664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Camas</a:t>
                </a:r>
              </a:p>
            </c:rich>
          </c:tx>
          <c:layout>
            <c:manualLayout>
              <c:xMode val="edge"/>
              <c:yMode val="edge"/>
              <c:x val="0.9135406524429146"/>
              <c:y val="0.1901639344262324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340566056"/>
        <c:crosses val="autoZero"/>
        <c:auto val="0"/>
        <c:lblAlgn val="ctr"/>
        <c:lblOffset val="100"/>
        <c:noMultiLvlLbl val="0"/>
      </c:catAx>
      <c:valAx>
        <c:axId val="340566056"/>
        <c:scaling>
          <c:orientation val="minMax"/>
          <c:max val="75"/>
          <c:min val="30"/>
        </c:scaling>
        <c:delete val="0"/>
        <c:axPos val="r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L"/>
          </a:p>
        </c:txPr>
        <c:crossAx val="340565664"/>
        <c:crosses val="max"/>
        <c:crossBetween val="between"/>
        <c:majorUnit val="5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8433948611237572"/>
          <c:y val="0.83606557377049184"/>
          <c:w val="0.63947849096353204"/>
          <c:h val="0.13770491803278884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L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L"/>
    </a:p>
  </c:txPr>
  <c:printSettings>
    <c:headerFooter alignWithMargins="0"/>
    <c:pageMargins b="1" l="0.75000000000001465" r="0.75000000000001465" t="1" header="0" footer="0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8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Indice  Ocupacional y Promedio  dias estada
Hospital Llay Llay
</a:t>
            </a:r>
          </a:p>
        </c:rich>
      </c:tx>
      <c:layout>
        <c:manualLayout>
          <c:xMode val="edge"/>
          <c:yMode val="edge"/>
          <c:x val="0.21967230325717491"/>
          <c:y val="3.654485049833887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8688587577314589E-2"/>
          <c:y val="0.29568154277658909"/>
          <c:w val="0.83606624300896759"/>
          <c:h val="0.46511703358115125"/>
        </c:manualLayout>
      </c:layout>
      <c:lineChart>
        <c:grouping val="standard"/>
        <c:varyColors val="0"/>
        <c:ser>
          <c:idx val="1"/>
          <c:order val="0"/>
          <c:tx>
            <c:v>indice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'94'!$B$9:$B$18</c:f>
              <c:numCache>
                <c:formatCode>General</c:formatCode>
                <c:ptCount val="10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</c:numCache>
            </c:numRef>
          </c:cat>
          <c:val>
            <c:numRef>
              <c:f>'94'!$F$9:$F$18</c:f>
              <c:numCache>
                <c:formatCode>#,##0.0</c:formatCode>
                <c:ptCount val="10"/>
                <c:pt idx="0">
                  <c:v>24.8</c:v>
                </c:pt>
                <c:pt idx="1">
                  <c:v>27.8</c:v>
                </c:pt>
                <c:pt idx="2">
                  <c:v>39.954041362773502</c:v>
                </c:pt>
                <c:pt idx="3">
                  <c:v>35.5</c:v>
                </c:pt>
                <c:pt idx="4">
                  <c:v>40.299999999999997</c:v>
                </c:pt>
                <c:pt idx="5">
                  <c:v>45.413420457401358</c:v>
                </c:pt>
                <c:pt idx="6">
                  <c:v>45.050415371932274</c:v>
                </c:pt>
                <c:pt idx="7">
                  <c:v>38.77563627378305</c:v>
                </c:pt>
                <c:pt idx="8">
                  <c:v>43.671489903005245</c:v>
                </c:pt>
                <c:pt idx="9">
                  <c:v>49.95308101345011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0566840"/>
        <c:axId val="340567232"/>
      </c:lineChart>
      <c:lineChart>
        <c:grouping val="standard"/>
        <c:varyColors val="0"/>
        <c:ser>
          <c:idx val="0"/>
          <c:order val="1"/>
          <c:tx>
            <c:v>Promedio</c:v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numRef>
              <c:f>'94'!$G$9:$G$18</c:f>
              <c:numCache>
                <c:formatCode>0.00</c:formatCode>
                <c:ptCount val="10"/>
                <c:pt idx="0">
                  <c:v>3.34</c:v>
                </c:pt>
                <c:pt idx="1">
                  <c:v>3.11</c:v>
                </c:pt>
                <c:pt idx="2">
                  <c:v>4.069897959183673</c:v>
                </c:pt>
                <c:pt idx="3">
                  <c:v>3.54</c:v>
                </c:pt>
                <c:pt idx="4">
                  <c:v>3.33</c:v>
                </c:pt>
                <c:pt idx="5">
                  <c:v>3.3782879005260642</c:v>
                </c:pt>
                <c:pt idx="6">
                  <c:v>3.595276435856146</c:v>
                </c:pt>
                <c:pt idx="7">
                  <c:v>3.9531889994148623</c:v>
                </c:pt>
                <c:pt idx="8">
                  <c:v>4.0376602564102564</c:v>
                </c:pt>
                <c:pt idx="9">
                  <c:v>5.5182432432432433</c:v>
                </c:pt>
              </c:numCache>
            </c:numRef>
          </c:cat>
          <c:val>
            <c:numRef>
              <c:f>'94'!$G$9:$G$18</c:f>
              <c:numCache>
                <c:formatCode>0.00</c:formatCode>
                <c:ptCount val="10"/>
                <c:pt idx="0">
                  <c:v>3.34</c:v>
                </c:pt>
                <c:pt idx="1">
                  <c:v>3.11</c:v>
                </c:pt>
                <c:pt idx="2">
                  <c:v>4.069897959183673</c:v>
                </c:pt>
                <c:pt idx="3">
                  <c:v>3.54</c:v>
                </c:pt>
                <c:pt idx="4">
                  <c:v>3.33</c:v>
                </c:pt>
                <c:pt idx="5">
                  <c:v>3.3782879005260642</c:v>
                </c:pt>
                <c:pt idx="6">
                  <c:v>3.595276435856146</c:v>
                </c:pt>
                <c:pt idx="7">
                  <c:v>3.9531889994148623</c:v>
                </c:pt>
                <c:pt idx="8">
                  <c:v>4.0376602564102564</c:v>
                </c:pt>
                <c:pt idx="9">
                  <c:v>5.5182432432432433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0567624"/>
        <c:axId val="340568016"/>
      </c:lineChart>
      <c:catAx>
        <c:axId val="3405668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I. Ocup.</a:t>
                </a:r>
              </a:p>
            </c:rich>
          </c:tx>
          <c:layout>
            <c:manualLayout>
              <c:xMode val="edge"/>
              <c:yMode val="edge"/>
              <c:x val="1.1475409836066226E-2"/>
              <c:y val="0.205980415238792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L"/>
          </a:p>
        </c:txPr>
        <c:crossAx val="34056723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40567232"/>
        <c:scaling>
          <c:orientation val="minMax"/>
          <c:max val="50"/>
          <c:min val="20"/>
        </c:scaling>
        <c:delete val="0"/>
        <c:axPos val="l"/>
        <c:numFmt formatCode="#,##0.0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L"/>
          </a:p>
        </c:txPr>
        <c:crossAx val="340566840"/>
        <c:crosses val="autoZero"/>
        <c:crossBetween val="between"/>
        <c:majorUnit val="10"/>
        <c:minorUnit val="5"/>
      </c:valAx>
      <c:catAx>
        <c:axId val="340567624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Pro. dias</a:t>
                </a:r>
              </a:p>
            </c:rich>
          </c:tx>
          <c:layout>
            <c:manualLayout>
              <c:xMode val="edge"/>
              <c:yMode val="edge"/>
              <c:x val="0.8901646228647645"/>
              <c:y val="0.19269137869394232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1"/>
        <c:majorTickMark val="out"/>
        <c:minorTickMark val="none"/>
        <c:tickLblPos val="nextTo"/>
        <c:crossAx val="340568016"/>
        <c:crosses val="autoZero"/>
        <c:auto val="0"/>
        <c:lblAlgn val="ctr"/>
        <c:lblOffset val="100"/>
        <c:noMultiLvlLbl val="0"/>
      </c:catAx>
      <c:valAx>
        <c:axId val="340568016"/>
        <c:scaling>
          <c:orientation val="minMax"/>
          <c:max val="5"/>
          <c:min val="3"/>
        </c:scaling>
        <c:delete val="0"/>
        <c:axPos val="r"/>
        <c:numFmt formatCode="0.00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L"/>
          </a:p>
        </c:txPr>
        <c:crossAx val="340567624"/>
        <c:crosses val="max"/>
        <c:crossBetween val="between"/>
        <c:majorUnit val="1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2950836883094541"/>
          <c:y val="0.85049973404490065"/>
          <c:w val="0.64262346714860996"/>
          <c:h val="0.13953523251451971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L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L"/>
    </a:p>
  </c:txPr>
  <c:printSettings>
    <c:headerFooter alignWithMargins="0"/>
    <c:pageMargins b="1" l="0.75000000000001465" r="0.75000000000001465" t="1" header="0" footer="0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8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Numero  de Egresos  y  Promedio de  Camas
Hospital  Putaendo
</a:t>
            </a:r>
          </a:p>
        </c:rich>
      </c:tx>
      <c:layout>
        <c:manualLayout>
          <c:xMode val="edge"/>
          <c:yMode val="edge"/>
          <c:x val="0.22294039577848407"/>
          <c:y val="3.606557377049180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2697957184247833E-2"/>
          <c:y val="0.29180327868852457"/>
          <c:w val="0.85783589477414934"/>
          <c:h val="0.47213114754098329"/>
        </c:manualLayout>
      </c:layout>
      <c:lineChart>
        <c:grouping val="standard"/>
        <c:varyColors val="0"/>
        <c:ser>
          <c:idx val="1"/>
          <c:order val="0"/>
          <c:tx>
            <c:v>N° de  Egresos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'95'!$B$9:$B$18</c:f>
              <c:numCache>
                <c:formatCode>General</c:formatCode>
                <c:ptCount val="10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</c:numCache>
            </c:numRef>
          </c:cat>
          <c:val>
            <c:numRef>
              <c:f>'95'!$E$9:$E$18</c:f>
              <c:numCache>
                <c:formatCode>#,##0</c:formatCode>
                <c:ptCount val="10"/>
                <c:pt idx="0">
                  <c:v>645</c:v>
                </c:pt>
                <c:pt idx="1">
                  <c:v>698</c:v>
                </c:pt>
                <c:pt idx="2">
                  <c:v>720</c:v>
                </c:pt>
                <c:pt idx="3">
                  <c:v>664</c:v>
                </c:pt>
                <c:pt idx="4">
                  <c:v>694</c:v>
                </c:pt>
                <c:pt idx="5">
                  <c:v>303</c:v>
                </c:pt>
                <c:pt idx="6">
                  <c:v>452</c:v>
                </c:pt>
                <c:pt idx="7">
                  <c:v>519</c:v>
                </c:pt>
                <c:pt idx="8">
                  <c:v>576</c:v>
                </c:pt>
                <c:pt idx="9">
                  <c:v>608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0568800"/>
        <c:axId val="340569192"/>
      </c:lineChart>
      <c:lineChart>
        <c:grouping val="standard"/>
        <c:varyColors val="0"/>
        <c:ser>
          <c:idx val="0"/>
          <c:order val="1"/>
          <c:tx>
            <c:v>Promedio  de  Camas</c:v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numRef>
              <c:f>'95'!$C$9:$C$18</c:f>
              <c:numCache>
                <c:formatCode>General</c:formatCode>
                <c:ptCount val="10"/>
                <c:pt idx="0">
                  <c:v>27</c:v>
                </c:pt>
                <c:pt idx="1">
                  <c:v>27</c:v>
                </c:pt>
                <c:pt idx="2">
                  <c:v>27</c:v>
                </c:pt>
                <c:pt idx="3">
                  <c:v>27</c:v>
                </c:pt>
                <c:pt idx="4">
                  <c:v>27</c:v>
                </c:pt>
                <c:pt idx="5">
                  <c:v>27</c:v>
                </c:pt>
                <c:pt idx="6">
                  <c:v>28</c:v>
                </c:pt>
                <c:pt idx="7">
                  <c:v>28</c:v>
                </c:pt>
                <c:pt idx="8">
                  <c:v>28</c:v>
                </c:pt>
                <c:pt idx="9">
                  <c:v>28</c:v>
                </c:pt>
              </c:numCache>
            </c:numRef>
          </c:cat>
          <c:val>
            <c:numRef>
              <c:f>'95'!$D$9:$D$18</c:f>
              <c:numCache>
                <c:formatCode>General</c:formatCode>
                <c:ptCount val="10"/>
                <c:pt idx="0">
                  <c:v>25</c:v>
                </c:pt>
                <c:pt idx="1">
                  <c:v>27</c:v>
                </c:pt>
                <c:pt idx="2">
                  <c:v>27</c:v>
                </c:pt>
                <c:pt idx="3">
                  <c:v>27</c:v>
                </c:pt>
                <c:pt idx="4">
                  <c:v>27</c:v>
                </c:pt>
                <c:pt idx="5">
                  <c:v>10</c:v>
                </c:pt>
                <c:pt idx="6">
                  <c:v>17</c:v>
                </c:pt>
                <c:pt idx="7">
                  <c:v>28</c:v>
                </c:pt>
                <c:pt idx="8" formatCode="0">
                  <c:v>27.923287671232877</c:v>
                </c:pt>
                <c:pt idx="9" formatCode="0">
                  <c:v>28.076712328767123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0569584"/>
        <c:axId val="340569976"/>
      </c:lineChart>
      <c:catAx>
        <c:axId val="3405688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Egresos</a:t>
                </a:r>
              </a:p>
            </c:rich>
          </c:tx>
          <c:layout>
            <c:manualLayout>
              <c:xMode val="edge"/>
              <c:yMode val="edge"/>
              <c:x val="8.0775444264944048E-3"/>
              <c:y val="0.2032786885245904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L"/>
          </a:p>
        </c:txPr>
        <c:crossAx val="34056919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40569192"/>
        <c:scaling>
          <c:orientation val="minMax"/>
          <c:max val="750"/>
          <c:min val="280"/>
        </c:scaling>
        <c:delete val="0"/>
        <c:axPos val="l"/>
        <c:numFmt formatCode="#,##0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L"/>
          </a:p>
        </c:txPr>
        <c:crossAx val="340568800"/>
        <c:crosses val="autoZero"/>
        <c:crossBetween val="between"/>
        <c:majorUnit val="50"/>
        <c:minorUnit val="50"/>
      </c:valAx>
      <c:catAx>
        <c:axId val="340569584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Camas</a:t>
                </a:r>
              </a:p>
            </c:rich>
          </c:tx>
          <c:layout>
            <c:manualLayout>
              <c:xMode val="edge"/>
              <c:yMode val="edge"/>
              <c:x val="0.9143787075081129"/>
              <c:y val="0.1901639344262324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340569976"/>
        <c:crosses val="autoZero"/>
        <c:auto val="0"/>
        <c:lblAlgn val="ctr"/>
        <c:lblOffset val="100"/>
        <c:noMultiLvlLbl val="0"/>
      </c:catAx>
      <c:valAx>
        <c:axId val="340569976"/>
        <c:scaling>
          <c:orientation val="minMax"/>
          <c:max val="28"/>
          <c:min val="9"/>
        </c:scaling>
        <c:delete val="0"/>
        <c:axPos val="r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L"/>
          </a:p>
        </c:txPr>
        <c:crossAx val="340569584"/>
        <c:crosses val="max"/>
        <c:crossBetween val="between"/>
        <c:majorUnit val="4"/>
        <c:minorUnit val="1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7932165587540674"/>
          <c:y val="0.83606557377049184"/>
          <c:w val="0.63327999185885364"/>
          <c:h val="0.13770491803278884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L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L"/>
    </a:p>
  </c:txPr>
  <c:printSettings>
    <c:headerFooter alignWithMargins="0"/>
    <c:pageMargins b="1" l="0.75000000000001465" r="0.75000000000001465" t="1" header="0" footer="0"/>
    <c:pageSetup orientation="landscape" horizontalDpi="0" verticalDpi="0"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8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Indice  Ocupacional y Promedio  dias estada
Hospital  Putaendo
</a:t>
            </a:r>
          </a:p>
        </c:rich>
      </c:tx>
      <c:layout>
        <c:manualLayout>
          <c:xMode val="edge"/>
          <c:yMode val="edge"/>
          <c:x val="0.22240276783583871"/>
          <c:y val="3.654485049833887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7922139688181472E-2"/>
          <c:y val="0.29568154277658909"/>
          <c:w val="0.82792273418692786"/>
          <c:h val="0.46511703358115125"/>
        </c:manualLayout>
      </c:layout>
      <c:lineChart>
        <c:grouping val="standard"/>
        <c:varyColors val="0"/>
        <c:ser>
          <c:idx val="1"/>
          <c:order val="0"/>
          <c:tx>
            <c:v>indice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'95'!$B$9:$B$18</c:f>
              <c:numCache>
                <c:formatCode>General</c:formatCode>
                <c:ptCount val="10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</c:numCache>
            </c:numRef>
          </c:cat>
          <c:val>
            <c:numRef>
              <c:f>'95'!$F$9:$F$18</c:f>
              <c:numCache>
                <c:formatCode>#,##0.0</c:formatCode>
                <c:ptCount val="10"/>
                <c:pt idx="0">
                  <c:v>49.5</c:v>
                </c:pt>
                <c:pt idx="1">
                  <c:v>53</c:v>
                </c:pt>
                <c:pt idx="2">
                  <c:v>64.008117706747854</c:v>
                </c:pt>
                <c:pt idx="3">
                  <c:v>53.7</c:v>
                </c:pt>
                <c:pt idx="4">
                  <c:v>45.1</c:v>
                </c:pt>
                <c:pt idx="5">
                  <c:v>63.513513513513509</c:v>
                </c:pt>
                <c:pt idx="6">
                  <c:v>66.287818152713314</c:v>
                </c:pt>
                <c:pt idx="7">
                  <c:v>56.240234375</c:v>
                </c:pt>
                <c:pt idx="8">
                  <c:v>49.126766091051806</c:v>
                </c:pt>
                <c:pt idx="9">
                  <c:v>56.391491022638562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0570760"/>
        <c:axId val="340571152"/>
      </c:lineChart>
      <c:lineChart>
        <c:grouping val="standard"/>
        <c:varyColors val="0"/>
        <c:ser>
          <c:idx val="0"/>
          <c:order val="1"/>
          <c:tx>
            <c:v>Promedio</c:v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numRef>
              <c:f>'95'!$G$9:$G$18</c:f>
              <c:numCache>
                <c:formatCode>0.00</c:formatCode>
                <c:ptCount val="10"/>
                <c:pt idx="0">
                  <c:v>6.79</c:v>
                </c:pt>
                <c:pt idx="1">
                  <c:v>7.39</c:v>
                </c:pt>
                <c:pt idx="2">
                  <c:v>8.8097222222222218</c:v>
                </c:pt>
                <c:pt idx="3">
                  <c:v>8.17</c:v>
                </c:pt>
                <c:pt idx="4">
                  <c:v>6.78</c:v>
                </c:pt>
                <c:pt idx="5">
                  <c:v>8.5742574257425748</c:v>
                </c:pt>
                <c:pt idx="6">
                  <c:v>9.0044247787610612</c:v>
                </c:pt>
                <c:pt idx="7">
                  <c:v>10.273603082851638</c:v>
                </c:pt>
                <c:pt idx="8">
                  <c:v>8.3524305555555554</c:v>
                </c:pt>
                <c:pt idx="9">
                  <c:v>8.1891447368421044</c:v>
                </c:pt>
              </c:numCache>
            </c:numRef>
          </c:cat>
          <c:val>
            <c:numRef>
              <c:f>'95'!$G$9:$G$18</c:f>
              <c:numCache>
                <c:formatCode>0.00</c:formatCode>
                <c:ptCount val="10"/>
                <c:pt idx="0">
                  <c:v>6.79</c:v>
                </c:pt>
                <c:pt idx="1">
                  <c:v>7.39</c:v>
                </c:pt>
                <c:pt idx="2">
                  <c:v>8.8097222222222218</c:v>
                </c:pt>
                <c:pt idx="3">
                  <c:v>8.17</c:v>
                </c:pt>
                <c:pt idx="4">
                  <c:v>6.78</c:v>
                </c:pt>
                <c:pt idx="5">
                  <c:v>8.5742574257425748</c:v>
                </c:pt>
                <c:pt idx="6">
                  <c:v>9.0044247787610612</c:v>
                </c:pt>
                <c:pt idx="7">
                  <c:v>10.273603082851638</c:v>
                </c:pt>
                <c:pt idx="8">
                  <c:v>8.3524305555555554</c:v>
                </c:pt>
                <c:pt idx="9">
                  <c:v>8.1891447368421044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0571544"/>
        <c:axId val="340571936"/>
      </c:lineChart>
      <c:catAx>
        <c:axId val="340570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I. Ocup.</a:t>
                </a:r>
              </a:p>
            </c:rich>
          </c:tx>
          <c:layout>
            <c:manualLayout>
              <c:xMode val="edge"/>
              <c:yMode val="edge"/>
              <c:x val="1.1363636363636367E-2"/>
              <c:y val="0.205980415238792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L"/>
          </a:p>
        </c:txPr>
        <c:crossAx val="34057115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40571152"/>
        <c:scaling>
          <c:orientation val="minMax"/>
          <c:max val="66"/>
          <c:min val="45"/>
        </c:scaling>
        <c:delete val="0"/>
        <c:axPos val="l"/>
        <c:numFmt formatCode="#,##0.0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L"/>
          </a:p>
        </c:txPr>
        <c:crossAx val="340570760"/>
        <c:crosses val="autoZero"/>
        <c:crossBetween val="between"/>
        <c:majorUnit val="5"/>
        <c:minorUnit val="5"/>
      </c:valAx>
      <c:catAx>
        <c:axId val="340571544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Pro. dias</a:t>
                </a:r>
              </a:p>
            </c:rich>
          </c:tx>
          <c:layout>
            <c:manualLayout>
              <c:xMode val="edge"/>
              <c:yMode val="edge"/>
              <c:x val="0.88149418822647152"/>
              <c:y val="0.19269137869394232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1"/>
        <c:majorTickMark val="out"/>
        <c:minorTickMark val="none"/>
        <c:tickLblPos val="nextTo"/>
        <c:crossAx val="340571936"/>
        <c:crosses val="autoZero"/>
        <c:auto val="0"/>
        <c:lblAlgn val="ctr"/>
        <c:lblOffset val="100"/>
        <c:noMultiLvlLbl val="0"/>
      </c:catAx>
      <c:valAx>
        <c:axId val="340571936"/>
        <c:scaling>
          <c:orientation val="minMax"/>
          <c:max val="10"/>
          <c:min val="6"/>
        </c:scaling>
        <c:delete val="0"/>
        <c:axPos val="r"/>
        <c:numFmt formatCode="0.00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L"/>
          </a:p>
        </c:txPr>
        <c:crossAx val="340571544"/>
        <c:crosses val="max"/>
        <c:crossBetween val="between"/>
        <c:majorUnit val="2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4513004056311141"/>
          <c:y val="0.85049973404490065"/>
          <c:w val="0.63636414766336014"/>
          <c:h val="0.13953523251451241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L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L"/>
    </a:p>
  </c:txPr>
  <c:printSettings>
    <c:headerFooter alignWithMargins="0"/>
    <c:pageMargins b="1" l="0.75000000000001465" r="0.75000000000001465" t="1" header="0" footer="0"/>
    <c:pageSetup/>
  </c:printSettings>
</c:chartSpace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3.xml"/><Relationship Id="rId2" Type="http://schemas.openxmlformats.org/officeDocument/2006/relationships/chart" Target="../charts/chart12.xml"/><Relationship Id="rId1" Type="http://schemas.openxmlformats.org/officeDocument/2006/relationships/chart" Target="../charts/chart11.xml"/><Relationship Id="rId4" Type="http://schemas.openxmlformats.org/officeDocument/2006/relationships/chart" Target="../charts/chart14.xml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6.xml"/><Relationship Id="rId1" Type="http://schemas.openxmlformats.org/officeDocument/2006/relationships/chart" Target="../charts/chart15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8.xml"/><Relationship Id="rId1" Type="http://schemas.openxmlformats.org/officeDocument/2006/relationships/chart" Target="../charts/chart17.xml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0.xml"/><Relationship Id="rId1" Type="http://schemas.openxmlformats.org/officeDocument/2006/relationships/chart" Target="../charts/chart19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2.xml"/><Relationship Id="rId1" Type="http://schemas.openxmlformats.org/officeDocument/2006/relationships/chart" Target="../charts/chart21.xml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4.xml"/><Relationship Id="rId1" Type="http://schemas.openxmlformats.org/officeDocument/2006/relationships/chart" Target="../charts/chart23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6.xml"/><Relationship Id="rId1" Type="http://schemas.openxmlformats.org/officeDocument/2006/relationships/chart" Target="../charts/chart25.xml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8.xml"/><Relationship Id="rId1" Type="http://schemas.openxmlformats.org/officeDocument/2006/relationships/chart" Target="../charts/chart27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0.xml"/><Relationship Id="rId1" Type="http://schemas.openxmlformats.org/officeDocument/2006/relationships/chart" Target="../charts/chart29.xml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2.xml"/><Relationship Id="rId1" Type="http://schemas.openxmlformats.org/officeDocument/2006/relationships/chart" Target="../charts/chart31.xml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4.xml"/><Relationship Id="rId1" Type="http://schemas.openxmlformats.org/officeDocument/2006/relationships/chart" Target="../charts/chart33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6.xml"/><Relationship Id="rId1" Type="http://schemas.openxmlformats.org/officeDocument/2006/relationships/chart" Target="../charts/chart35.xml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9.xml"/><Relationship Id="rId2" Type="http://schemas.openxmlformats.org/officeDocument/2006/relationships/chart" Target="../charts/chart38.xml"/><Relationship Id="rId1" Type="http://schemas.openxmlformats.org/officeDocument/2006/relationships/chart" Target="../charts/chart37.xml"/><Relationship Id="rId4" Type="http://schemas.openxmlformats.org/officeDocument/2006/relationships/chart" Target="../charts/chart40.xml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2.xml"/><Relationship Id="rId1" Type="http://schemas.openxmlformats.org/officeDocument/2006/relationships/chart" Target="../charts/chart41.xml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4.xml"/><Relationship Id="rId1" Type="http://schemas.openxmlformats.org/officeDocument/2006/relationships/chart" Target="../charts/chart43.xml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5.xml"/></Relationships>
</file>

<file path=xl/drawings/_rels/drawing3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3.xml"/><Relationship Id="rId13" Type="http://schemas.openxmlformats.org/officeDocument/2006/relationships/chart" Target="../charts/chart58.xml"/><Relationship Id="rId18" Type="http://schemas.openxmlformats.org/officeDocument/2006/relationships/chart" Target="../charts/chart63.xml"/><Relationship Id="rId3" Type="http://schemas.openxmlformats.org/officeDocument/2006/relationships/chart" Target="../charts/chart48.xml"/><Relationship Id="rId21" Type="http://schemas.openxmlformats.org/officeDocument/2006/relationships/chart" Target="../charts/chart66.xml"/><Relationship Id="rId7" Type="http://schemas.openxmlformats.org/officeDocument/2006/relationships/chart" Target="../charts/chart52.xml"/><Relationship Id="rId12" Type="http://schemas.openxmlformats.org/officeDocument/2006/relationships/chart" Target="../charts/chart57.xml"/><Relationship Id="rId17" Type="http://schemas.openxmlformats.org/officeDocument/2006/relationships/chart" Target="../charts/chart62.xml"/><Relationship Id="rId2" Type="http://schemas.openxmlformats.org/officeDocument/2006/relationships/chart" Target="../charts/chart47.xml"/><Relationship Id="rId16" Type="http://schemas.openxmlformats.org/officeDocument/2006/relationships/chart" Target="../charts/chart61.xml"/><Relationship Id="rId20" Type="http://schemas.openxmlformats.org/officeDocument/2006/relationships/chart" Target="../charts/chart65.xml"/><Relationship Id="rId1" Type="http://schemas.openxmlformats.org/officeDocument/2006/relationships/chart" Target="../charts/chart46.xml"/><Relationship Id="rId6" Type="http://schemas.openxmlformats.org/officeDocument/2006/relationships/chart" Target="../charts/chart51.xml"/><Relationship Id="rId11" Type="http://schemas.openxmlformats.org/officeDocument/2006/relationships/chart" Target="../charts/chart56.xml"/><Relationship Id="rId24" Type="http://schemas.openxmlformats.org/officeDocument/2006/relationships/chart" Target="../charts/chart69.xml"/><Relationship Id="rId5" Type="http://schemas.openxmlformats.org/officeDocument/2006/relationships/chart" Target="../charts/chart50.xml"/><Relationship Id="rId15" Type="http://schemas.openxmlformats.org/officeDocument/2006/relationships/chart" Target="../charts/chart60.xml"/><Relationship Id="rId23" Type="http://schemas.openxmlformats.org/officeDocument/2006/relationships/chart" Target="../charts/chart68.xml"/><Relationship Id="rId10" Type="http://schemas.openxmlformats.org/officeDocument/2006/relationships/chart" Target="../charts/chart55.xml"/><Relationship Id="rId19" Type="http://schemas.openxmlformats.org/officeDocument/2006/relationships/chart" Target="../charts/chart64.xml"/><Relationship Id="rId4" Type="http://schemas.openxmlformats.org/officeDocument/2006/relationships/chart" Target="../charts/chart49.xml"/><Relationship Id="rId9" Type="http://schemas.openxmlformats.org/officeDocument/2006/relationships/chart" Target="../charts/chart54.xml"/><Relationship Id="rId14" Type="http://schemas.openxmlformats.org/officeDocument/2006/relationships/chart" Target="../charts/chart59.xml"/><Relationship Id="rId22" Type="http://schemas.openxmlformats.org/officeDocument/2006/relationships/chart" Target="../charts/chart67.xml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0.xml"/></Relationships>
</file>

<file path=xl/drawings/_rels/drawing3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2.xml"/><Relationship Id="rId1" Type="http://schemas.openxmlformats.org/officeDocument/2006/relationships/chart" Target="../charts/chart71.xml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3.xml"/></Relationships>
</file>

<file path=xl/drawings/_rels/drawing4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5.xml"/><Relationship Id="rId1" Type="http://schemas.openxmlformats.org/officeDocument/2006/relationships/chart" Target="../charts/chart74.xml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8.xml"/><Relationship Id="rId2" Type="http://schemas.openxmlformats.org/officeDocument/2006/relationships/chart" Target="../charts/chart77.xml"/><Relationship Id="rId1" Type="http://schemas.openxmlformats.org/officeDocument/2006/relationships/chart" Target="../charts/chart76.xml"/><Relationship Id="rId4" Type="http://schemas.openxmlformats.org/officeDocument/2006/relationships/chart" Target="../charts/chart79.xml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2.xml"/><Relationship Id="rId2" Type="http://schemas.openxmlformats.org/officeDocument/2006/relationships/chart" Target="../charts/chart81.xml"/><Relationship Id="rId1" Type="http://schemas.openxmlformats.org/officeDocument/2006/relationships/chart" Target="../charts/chart80.xml"/><Relationship Id="rId4" Type="http://schemas.openxmlformats.org/officeDocument/2006/relationships/chart" Target="../charts/chart83.xml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6.xml"/><Relationship Id="rId2" Type="http://schemas.openxmlformats.org/officeDocument/2006/relationships/chart" Target="../charts/chart85.xml"/><Relationship Id="rId1" Type="http://schemas.openxmlformats.org/officeDocument/2006/relationships/chart" Target="../charts/chart84.xml"/><Relationship Id="rId4" Type="http://schemas.openxmlformats.org/officeDocument/2006/relationships/chart" Target="../charts/chart87.xml"/></Relationships>
</file>

<file path=xl/drawings/_rels/drawing4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9.xml"/><Relationship Id="rId1" Type="http://schemas.openxmlformats.org/officeDocument/2006/relationships/chart" Target="../charts/chart88.xml"/></Relationships>
</file>

<file path=xl/drawings/_rels/drawing4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1.xml"/><Relationship Id="rId1" Type="http://schemas.openxmlformats.org/officeDocument/2006/relationships/chart" Target="../charts/chart90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5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3.xml"/><Relationship Id="rId1" Type="http://schemas.openxmlformats.org/officeDocument/2006/relationships/chart" Target="../charts/chart92.xml"/></Relationships>
</file>

<file path=xl/drawings/_rels/drawing5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5.xml"/><Relationship Id="rId1" Type="http://schemas.openxmlformats.org/officeDocument/2006/relationships/chart" Target="../charts/chart94.xml"/></Relationships>
</file>

<file path=xl/drawings/_rels/drawing5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7.xml"/><Relationship Id="rId1" Type="http://schemas.openxmlformats.org/officeDocument/2006/relationships/chart" Target="../charts/chart96.xml"/></Relationships>
</file>

<file path=xl/drawings/_rels/drawing5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9.xml"/><Relationship Id="rId1" Type="http://schemas.openxmlformats.org/officeDocument/2006/relationships/chart" Target="../charts/chart98.xml"/></Relationships>
</file>

<file path=xl/drawings/_rels/drawing5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1.xml"/><Relationship Id="rId1" Type="http://schemas.openxmlformats.org/officeDocument/2006/relationships/chart" Target="../charts/chart100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2" Type="http://schemas.openxmlformats.org/officeDocument/2006/relationships/chart" Target="../charts/chart8.xml"/><Relationship Id="rId1" Type="http://schemas.openxmlformats.org/officeDocument/2006/relationships/chart" Target="../charts/chart7.xml"/><Relationship Id="rId4" Type="http://schemas.openxmlformats.org/officeDocument/2006/relationships/chart" Target="../charts/chart10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28575</xdr:colOff>
      <xdr:row>8</xdr:row>
      <xdr:rowOff>95250</xdr:rowOff>
    </xdr:from>
    <xdr:to>
      <xdr:col>4</xdr:col>
      <xdr:colOff>200025</xdr:colOff>
      <xdr:row>8</xdr:row>
      <xdr:rowOff>95250</xdr:rowOff>
    </xdr:to>
    <xdr:sp macro="" textlink="">
      <xdr:nvSpPr>
        <xdr:cNvPr id="66178980" name="Line 2"/>
        <xdr:cNvSpPr>
          <a:spLocks noChangeShapeType="1"/>
        </xdr:cNvSpPr>
      </xdr:nvSpPr>
      <xdr:spPr bwMode="auto">
        <a:xfrm>
          <a:off x="1276350" y="1543050"/>
          <a:ext cx="13811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209550</xdr:colOff>
      <xdr:row>8</xdr:row>
      <xdr:rowOff>85725</xdr:rowOff>
    </xdr:from>
    <xdr:to>
      <xdr:col>4</xdr:col>
      <xdr:colOff>209550</xdr:colOff>
      <xdr:row>11</xdr:row>
      <xdr:rowOff>85725</xdr:rowOff>
    </xdr:to>
    <xdr:sp macro="" textlink="">
      <xdr:nvSpPr>
        <xdr:cNvPr id="66178981" name="Line 15"/>
        <xdr:cNvSpPr>
          <a:spLocks noChangeShapeType="1"/>
        </xdr:cNvSpPr>
      </xdr:nvSpPr>
      <xdr:spPr bwMode="auto">
        <a:xfrm>
          <a:off x="2667000" y="1533525"/>
          <a:ext cx="0" cy="4857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</xdr:col>
      <xdr:colOff>361950</xdr:colOff>
      <xdr:row>14</xdr:row>
      <xdr:rowOff>85725</xdr:rowOff>
    </xdr:from>
    <xdr:to>
      <xdr:col>3</xdr:col>
      <xdr:colOff>0</xdr:colOff>
      <xdr:row>14</xdr:row>
      <xdr:rowOff>85725</xdr:rowOff>
    </xdr:to>
    <xdr:sp macro="" textlink="">
      <xdr:nvSpPr>
        <xdr:cNvPr id="66178982" name="Line 17"/>
        <xdr:cNvSpPr>
          <a:spLocks noChangeShapeType="1"/>
        </xdr:cNvSpPr>
      </xdr:nvSpPr>
      <xdr:spPr bwMode="auto">
        <a:xfrm>
          <a:off x="1590675" y="2505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6</xdr:col>
      <xdr:colOff>9525</xdr:colOff>
      <xdr:row>14</xdr:row>
      <xdr:rowOff>85725</xdr:rowOff>
    </xdr:from>
    <xdr:to>
      <xdr:col>6</xdr:col>
      <xdr:colOff>361950</xdr:colOff>
      <xdr:row>14</xdr:row>
      <xdr:rowOff>85725</xdr:rowOff>
    </xdr:to>
    <xdr:sp macro="" textlink="">
      <xdr:nvSpPr>
        <xdr:cNvPr id="66178983" name="Line 19"/>
        <xdr:cNvSpPr>
          <a:spLocks noChangeShapeType="1"/>
        </xdr:cNvSpPr>
      </xdr:nvSpPr>
      <xdr:spPr bwMode="auto">
        <a:xfrm>
          <a:off x="3981450" y="2505075"/>
          <a:ext cx="3524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6</xdr:col>
      <xdr:colOff>9525</xdr:colOff>
      <xdr:row>20</xdr:row>
      <xdr:rowOff>85725</xdr:rowOff>
    </xdr:from>
    <xdr:to>
      <xdr:col>6</xdr:col>
      <xdr:colOff>361950</xdr:colOff>
      <xdr:row>20</xdr:row>
      <xdr:rowOff>85725</xdr:rowOff>
    </xdr:to>
    <xdr:sp macro="" textlink="">
      <xdr:nvSpPr>
        <xdr:cNvPr id="66178984" name="Line 24"/>
        <xdr:cNvSpPr>
          <a:spLocks noChangeShapeType="1"/>
        </xdr:cNvSpPr>
      </xdr:nvSpPr>
      <xdr:spPr bwMode="auto">
        <a:xfrm>
          <a:off x="3981450" y="3476625"/>
          <a:ext cx="3524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9525</xdr:colOff>
      <xdr:row>17</xdr:row>
      <xdr:rowOff>85725</xdr:rowOff>
    </xdr:from>
    <xdr:to>
      <xdr:col>10</xdr:col>
      <xdr:colOff>409575</xdr:colOff>
      <xdr:row>17</xdr:row>
      <xdr:rowOff>85725</xdr:rowOff>
    </xdr:to>
    <xdr:sp macro="" textlink="">
      <xdr:nvSpPr>
        <xdr:cNvPr id="66178985" name="Line 26"/>
        <xdr:cNvSpPr>
          <a:spLocks noChangeShapeType="1"/>
        </xdr:cNvSpPr>
      </xdr:nvSpPr>
      <xdr:spPr bwMode="auto">
        <a:xfrm>
          <a:off x="5962650" y="2990850"/>
          <a:ext cx="4000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6</xdr:col>
      <xdr:colOff>9525</xdr:colOff>
      <xdr:row>9</xdr:row>
      <xdr:rowOff>85725</xdr:rowOff>
    </xdr:from>
    <xdr:to>
      <xdr:col>6</xdr:col>
      <xdr:colOff>361950</xdr:colOff>
      <xdr:row>9</xdr:row>
      <xdr:rowOff>85725</xdr:rowOff>
    </xdr:to>
    <xdr:sp macro="" textlink="">
      <xdr:nvSpPr>
        <xdr:cNvPr id="66178986" name="Line 27"/>
        <xdr:cNvSpPr>
          <a:spLocks noChangeShapeType="1"/>
        </xdr:cNvSpPr>
      </xdr:nvSpPr>
      <xdr:spPr bwMode="auto">
        <a:xfrm>
          <a:off x="3981450" y="1695450"/>
          <a:ext cx="3524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9525</xdr:colOff>
      <xdr:row>9</xdr:row>
      <xdr:rowOff>85725</xdr:rowOff>
    </xdr:from>
    <xdr:to>
      <xdr:col>12</xdr:col>
      <xdr:colOff>0</xdr:colOff>
      <xdr:row>9</xdr:row>
      <xdr:rowOff>85725</xdr:rowOff>
    </xdr:to>
    <xdr:sp macro="" textlink="">
      <xdr:nvSpPr>
        <xdr:cNvPr id="66178987" name="Line 28"/>
        <xdr:cNvSpPr>
          <a:spLocks noChangeShapeType="1"/>
        </xdr:cNvSpPr>
      </xdr:nvSpPr>
      <xdr:spPr bwMode="auto">
        <a:xfrm>
          <a:off x="4505325" y="1695450"/>
          <a:ext cx="20383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9525</xdr:colOff>
      <xdr:row>9</xdr:row>
      <xdr:rowOff>85725</xdr:rowOff>
    </xdr:from>
    <xdr:to>
      <xdr:col>13</xdr:col>
      <xdr:colOff>228600</xdr:colOff>
      <xdr:row>9</xdr:row>
      <xdr:rowOff>85725</xdr:rowOff>
    </xdr:to>
    <xdr:sp macro="" textlink="">
      <xdr:nvSpPr>
        <xdr:cNvPr id="66178988" name="Line 29"/>
        <xdr:cNvSpPr>
          <a:spLocks noChangeShapeType="1"/>
        </xdr:cNvSpPr>
      </xdr:nvSpPr>
      <xdr:spPr bwMode="auto">
        <a:xfrm>
          <a:off x="7267575" y="1695450"/>
          <a:ext cx="2190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6</xdr:col>
      <xdr:colOff>9525</xdr:colOff>
      <xdr:row>23</xdr:row>
      <xdr:rowOff>85725</xdr:rowOff>
    </xdr:from>
    <xdr:to>
      <xdr:col>6</xdr:col>
      <xdr:colOff>361950</xdr:colOff>
      <xdr:row>23</xdr:row>
      <xdr:rowOff>85725</xdr:rowOff>
    </xdr:to>
    <xdr:sp macro="" textlink="">
      <xdr:nvSpPr>
        <xdr:cNvPr id="66178989" name="Line 31"/>
        <xdr:cNvSpPr>
          <a:spLocks noChangeShapeType="1"/>
        </xdr:cNvSpPr>
      </xdr:nvSpPr>
      <xdr:spPr bwMode="auto">
        <a:xfrm>
          <a:off x="3981450" y="3962400"/>
          <a:ext cx="3524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9525</xdr:colOff>
      <xdr:row>23</xdr:row>
      <xdr:rowOff>85725</xdr:rowOff>
    </xdr:from>
    <xdr:to>
      <xdr:col>8</xdr:col>
      <xdr:colOff>428625</xdr:colOff>
      <xdr:row>23</xdr:row>
      <xdr:rowOff>85725</xdr:rowOff>
    </xdr:to>
    <xdr:sp macro="" textlink="">
      <xdr:nvSpPr>
        <xdr:cNvPr id="66178990" name="Line 32"/>
        <xdr:cNvSpPr>
          <a:spLocks noChangeShapeType="1"/>
        </xdr:cNvSpPr>
      </xdr:nvSpPr>
      <xdr:spPr bwMode="auto">
        <a:xfrm>
          <a:off x="4505325" y="3962400"/>
          <a:ext cx="4191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</xdr:col>
      <xdr:colOff>361950</xdr:colOff>
      <xdr:row>23</xdr:row>
      <xdr:rowOff>85725</xdr:rowOff>
    </xdr:from>
    <xdr:to>
      <xdr:col>3</xdr:col>
      <xdr:colOff>0</xdr:colOff>
      <xdr:row>23</xdr:row>
      <xdr:rowOff>85725</xdr:rowOff>
    </xdr:to>
    <xdr:sp macro="" textlink="">
      <xdr:nvSpPr>
        <xdr:cNvPr id="66178991" name="Line 33"/>
        <xdr:cNvSpPr>
          <a:spLocks noChangeShapeType="1"/>
        </xdr:cNvSpPr>
      </xdr:nvSpPr>
      <xdr:spPr bwMode="auto">
        <a:xfrm>
          <a:off x="1590675" y="3962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</xdr:col>
      <xdr:colOff>361950</xdr:colOff>
      <xdr:row>26</xdr:row>
      <xdr:rowOff>85725</xdr:rowOff>
    </xdr:from>
    <xdr:to>
      <xdr:col>3</xdr:col>
      <xdr:colOff>0</xdr:colOff>
      <xdr:row>26</xdr:row>
      <xdr:rowOff>85725</xdr:rowOff>
    </xdr:to>
    <xdr:sp macro="" textlink="">
      <xdr:nvSpPr>
        <xdr:cNvPr id="66178992" name="Line 35"/>
        <xdr:cNvSpPr>
          <a:spLocks noChangeShapeType="1"/>
        </xdr:cNvSpPr>
      </xdr:nvSpPr>
      <xdr:spPr bwMode="auto">
        <a:xfrm>
          <a:off x="1590675" y="44481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</xdr:col>
      <xdr:colOff>361950</xdr:colOff>
      <xdr:row>31</xdr:row>
      <xdr:rowOff>85725</xdr:rowOff>
    </xdr:from>
    <xdr:to>
      <xdr:col>3</xdr:col>
      <xdr:colOff>0</xdr:colOff>
      <xdr:row>31</xdr:row>
      <xdr:rowOff>85725</xdr:rowOff>
    </xdr:to>
    <xdr:sp macro="" textlink="">
      <xdr:nvSpPr>
        <xdr:cNvPr id="66178993" name="Line 37"/>
        <xdr:cNvSpPr>
          <a:spLocks noChangeShapeType="1"/>
        </xdr:cNvSpPr>
      </xdr:nvSpPr>
      <xdr:spPr bwMode="auto">
        <a:xfrm>
          <a:off x="1590675" y="5257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</xdr:col>
      <xdr:colOff>361950</xdr:colOff>
      <xdr:row>34</xdr:row>
      <xdr:rowOff>85725</xdr:rowOff>
    </xdr:from>
    <xdr:to>
      <xdr:col>3</xdr:col>
      <xdr:colOff>0</xdr:colOff>
      <xdr:row>34</xdr:row>
      <xdr:rowOff>85725</xdr:rowOff>
    </xdr:to>
    <xdr:sp macro="" textlink="">
      <xdr:nvSpPr>
        <xdr:cNvPr id="66178994" name="Line 39"/>
        <xdr:cNvSpPr>
          <a:spLocks noChangeShapeType="1"/>
        </xdr:cNvSpPr>
      </xdr:nvSpPr>
      <xdr:spPr bwMode="auto">
        <a:xfrm>
          <a:off x="1590675" y="5743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</xdr:col>
      <xdr:colOff>361950</xdr:colOff>
      <xdr:row>35</xdr:row>
      <xdr:rowOff>85725</xdr:rowOff>
    </xdr:from>
    <xdr:to>
      <xdr:col>3</xdr:col>
      <xdr:colOff>0</xdr:colOff>
      <xdr:row>35</xdr:row>
      <xdr:rowOff>85725</xdr:rowOff>
    </xdr:to>
    <xdr:sp macro="" textlink="">
      <xdr:nvSpPr>
        <xdr:cNvPr id="66178995" name="Line 40"/>
        <xdr:cNvSpPr>
          <a:spLocks noChangeShapeType="1"/>
        </xdr:cNvSpPr>
      </xdr:nvSpPr>
      <xdr:spPr bwMode="auto">
        <a:xfrm>
          <a:off x="1590675" y="5905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</xdr:col>
      <xdr:colOff>361950</xdr:colOff>
      <xdr:row>36</xdr:row>
      <xdr:rowOff>85725</xdr:rowOff>
    </xdr:from>
    <xdr:to>
      <xdr:col>3</xdr:col>
      <xdr:colOff>0</xdr:colOff>
      <xdr:row>36</xdr:row>
      <xdr:rowOff>85725</xdr:rowOff>
    </xdr:to>
    <xdr:sp macro="" textlink="">
      <xdr:nvSpPr>
        <xdr:cNvPr id="66178996" name="Line 41"/>
        <xdr:cNvSpPr>
          <a:spLocks noChangeShapeType="1"/>
        </xdr:cNvSpPr>
      </xdr:nvSpPr>
      <xdr:spPr bwMode="auto">
        <a:xfrm>
          <a:off x="1590675" y="6067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</xdr:col>
      <xdr:colOff>361950</xdr:colOff>
      <xdr:row>37</xdr:row>
      <xdr:rowOff>85725</xdr:rowOff>
    </xdr:from>
    <xdr:to>
      <xdr:col>3</xdr:col>
      <xdr:colOff>0</xdr:colOff>
      <xdr:row>37</xdr:row>
      <xdr:rowOff>85725</xdr:rowOff>
    </xdr:to>
    <xdr:sp macro="" textlink="">
      <xdr:nvSpPr>
        <xdr:cNvPr id="66178997" name="Line 42"/>
        <xdr:cNvSpPr>
          <a:spLocks noChangeShapeType="1"/>
        </xdr:cNvSpPr>
      </xdr:nvSpPr>
      <xdr:spPr bwMode="auto">
        <a:xfrm>
          <a:off x="1590675" y="6229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19050</xdr:colOff>
      <xdr:row>34</xdr:row>
      <xdr:rowOff>85725</xdr:rowOff>
    </xdr:from>
    <xdr:to>
      <xdr:col>4</xdr:col>
      <xdr:colOff>190500</xdr:colOff>
      <xdr:row>34</xdr:row>
      <xdr:rowOff>85725</xdr:rowOff>
    </xdr:to>
    <xdr:sp macro="" textlink="">
      <xdr:nvSpPr>
        <xdr:cNvPr id="66178998" name="Line 43"/>
        <xdr:cNvSpPr>
          <a:spLocks noChangeShapeType="1"/>
        </xdr:cNvSpPr>
      </xdr:nvSpPr>
      <xdr:spPr bwMode="auto">
        <a:xfrm>
          <a:off x="2476500" y="5743575"/>
          <a:ext cx="1714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</xdr:col>
      <xdr:colOff>19050</xdr:colOff>
      <xdr:row>37</xdr:row>
      <xdr:rowOff>76200</xdr:rowOff>
    </xdr:from>
    <xdr:to>
      <xdr:col>4</xdr:col>
      <xdr:colOff>190500</xdr:colOff>
      <xdr:row>37</xdr:row>
      <xdr:rowOff>85725</xdr:rowOff>
    </xdr:to>
    <xdr:sp macro="" textlink="">
      <xdr:nvSpPr>
        <xdr:cNvPr id="66178999" name="Line 44"/>
        <xdr:cNvSpPr>
          <a:spLocks noChangeShapeType="1"/>
        </xdr:cNvSpPr>
      </xdr:nvSpPr>
      <xdr:spPr bwMode="auto">
        <a:xfrm>
          <a:off x="1266825" y="6219825"/>
          <a:ext cx="1381125" cy="95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180975</xdr:colOff>
      <xdr:row>34</xdr:row>
      <xdr:rowOff>85725</xdr:rowOff>
    </xdr:from>
    <xdr:to>
      <xdr:col>4</xdr:col>
      <xdr:colOff>180975</xdr:colOff>
      <xdr:row>37</xdr:row>
      <xdr:rowOff>85725</xdr:rowOff>
    </xdr:to>
    <xdr:sp macro="" textlink="">
      <xdr:nvSpPr>
        <xdr:cNvPr id="66179000" name="Line 45"/>
        <xdr:cNvSpPr>
          <a:spLocks noChangeShapeType="1"/>
        </xdr:cNvSpPr>
      </xdr:nvSpPr>
      <xdr:spPr bwMode="auto">
        <a:xfrm>
          <a:off x="2638425" y="5743575"/>
          <a:ext cx="0" cy="4857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180975</xdr:colOff>
      <xdr:row>35</xdr:row>
      <xdr:rowOff>95250</xdr:rowOff>
    </xdr:from>
    <xdr:to>
      <xdr:col>4</xdr:col>
      <xdr:colOff>542925</xdr:colOff>
      <xdr:row>35</xdr:row>
      <xdr:rowOff>95250</xdr:rowOff>
    </xdr:to>
    <xdr:sp macro="" textlink="">
      <xdr:nvSpPr>
        <xdr:cNvPr id="66179001" name="Line 46"/>
        <xdr:cNvSpPr>
          <a:spLocks noChangeShapeType="1"/>
        </xdr:cNvSpPr>
      </xdr:nvSpPr>
      <xdr:spPr bwMode="auto">
        <a:xfrm>
          <a:off x="2638425" y="5915025"/>
          <a:ext cx="361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  <xdr:twoCellAnchor>
    <xdr:from>
      <xdr:col>6</xdr:col>
      <xdr:colOff>171450</xdr:colOff>
      <xdr:row>31</xdr:row>
      <xdr:rowOff>85725</xdr:rowOff>
    </xdr:from>
    <xdr:to>
      <xdr:col>7</xdr:col>
      <xdr:colOff>0</xdr:colOff>
      <xdr:row>31</xdr:row>
      <xdr:rowOff>85725</xdr:rowOff>
    </xdr:to>
    <xdr:sp macro="" textlink="">
      <xdr:nvSpPr>
        <xdr:cNvPr id="66179002" name="Line 51"/>
        <xdr:cNvSpPr>
          <a:spLocks noChangeShapeType="1"/>
        </xdr:cNvSpPr>
      </xdr:nvSpPr>
      <xdr:spPr bwMode="auto">
        <a:xfrm>
          <a:off x="4143375" y="5257800"/>
          <a:ext cx="1905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6</xdr:col>
      <xdr:colOff>171450</xdr:colOff>
      <xdr:row>35</xdr:row>
      <xdr:rowOff>85725</xdr:rowOff>
    </xdr:from>
    <xdr:to>
      <xdr:col>7</xdr:col>
      <xdr:colOff>0</xdr:colOff>
      <xdr:row>35</xdr:row>
      <xdr:rowOff>85725</xdr:rowOff>
    </xdr:to>
    <xdr:sp macro="" textlink="">
      <xdr:nvSpPr>
        <xdr:cNvPr id="66179003" name="Line 52"/>
        <xdr:cNvSpPr>
          <a:spLocks noChangeShapeType="1"/>
        </xdr:cNvSpPr>
      </xdr:nvSpPr>
      <xdr:spPr bwMode="auto">
        <a:xfrm>
          <a:off x="4143375" y="5905500"/>
          <a:ext cx="1905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6</xdr:col>
      <xdr:colOff>171450</xdr:colOff>
      <xdr:row>38</xdr:row>
      <xdr:rowOff>85725</xdr:rowOff>
    </xdr:from>
    <xdr:to>
      <xdr:col>7</xdr:col>
      <xdr:colOff>0</xdr:colOff>
      <xdr:row>38</xdr:row>
      <xdr:rowOff>85725</xdr:rowOff>
    </xdr:to>
    <xdr:sp macro="" textlink="">
      <xdr:nvSpPr>
        <xdr:cNvPr id="66179004" name="Line 53"/>
        <xdr:cNvSpPr>
          <a:spLocks noChangeShapeType="1"/>
        </xdr:cNvSpPr>
      </xdr:nvSpPr>
      <xdr:spPr bwMode="auto">
        <a:xfrm>
          <a:off x="4143375" y="6391275"/>
          <a:ext cx="1905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9525</xdr:colOff>
      <xdr:row>23</xdr:row>
      <xdr:rowOff>85725</xdr:rowOff>
    </xdr:from>
    <xdr:to>
      <xdr:col>13</xdr:col>
      <xdr:colOff>228600</xdr:colOff>
      <xdr:row>23</xdr:row>
      <xdr:rowOff>85725</xdr:rowOff>
    </xdr:to>
    <xdr:sp macro="" textlink="">
      <xdr:nvSpPr>
        <xdr:cNvPr id="66179005" name="Line 56"/>
        <xdr:cNvSpPr>
          <a:spLocks noChangeShapeType="1"/>
        </xdr:cNvSpPr>
      </xdr:nvSpPr>
      <xdr:spPr bwMode="auto">
        <a:xfrm>
          <a:off x="7267575" y="3962400"/>
          <a:ext cx="2190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9525</xdr:colOff>
      <xdr:row>9</xdr:row>
      <xdr:rowOff>85725</xdr:rowOff>
    </xdr:from>
    <xdr:to>
      <xdr:col>15</xdr:col>
      <xdr:colOff>171450</xdr:colOff>
      <xdr:row>9</xdr:row>
      <xdr:rowOff>85725</xdr:rowOff>
    </xdr:to>
    <xdr:sp macro="" textlink="">
      <xdr:nvSpPr>
        <xdr:cNvPr id="66179006" name="Line 57"/>
        <xdr:cNvSpPr>
          <a:spLocks noChangeShapeType="1"/>
        </xdr:cNvSpPr>
      </xdr:nvSpPr>
      <xdr:spPr bwMode="auto">
        <a:xfrm>
          <a:off x="7677150" y="1695450"/>
          <a:ext cx="1619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9525</xdr:colOff>
      <xdr:row>23</xdr:row>
      <xdr:rowOff>85725</xdr:rowOff>
    </xdr:from>
    <xdr:to>
      <xdr:col>15</xdr:col>
      <xdr:colOff>171450</xdr:colOff>
      <xdr:row>23</xdr:row>
      <xdr:rowOff>85725</xdr:rowOff>
    </xdr:to>
    <xdr:sp macro="" textlink="">
      <xdr:nvSpPr>
        <xdr:cNvPr id="66179007" name="Line 58"/>
        <xdr:cNvSpPr>
          <a:spLocks noChangeShapeType="1"/>
        </xdr:cNvSpPr>
      </xdr:nvSpPr>
      <xdr:spPr bwMode="auto">
        <a:xfrm>
          <a:off x="7677150" y="3962400"/>
          <a:ext cx="1619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171450</xdr:colOff>
      <xdr:row>9</xdr:row>
      <xdr:rowOff>85725</xdr:rowOff>
    </xdr:from>
    <xdr:to>
      <xdr:col>15</xdr:col>
      <xdr:colOff>171450</xdr:colOff>
      <xdr:row>23</xdr:row>
      <xdr:rowOff>85725</xdr:rowOff>
    </xdr:to>
    <xdr:sp macro="" textlink="">
      <xdr:nvSpPr>
        <xdr:cNvPr id="66179008" name="Line 59"/>
        <xdr:cNvSpPr>
          <a:spLocks noChangeShapeType="1"/>
        </xdr:cNvSpPr>
      </xdr:nvSpPr>
      <xdr:spPr bwMode="auto">
        <a:xfrm>
          <a:off x="7839075" y="1695450"/>
          <a:ext cx="0" cy="22669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400050</xdr:colOff>
      <xdr:row>12</xdr:row>
      <xdr:rowOff>47625</xdr:rowOff>
    </xdr:from>
    <xdr:to>
      <xdr:col>16</xdr:col>
      <xdr:colOff>400050</xdr:colOff>
      <xdr:row>13</xdr:row>
      <xdr:rowOff>152400</xdr:rowOff>
    </xdr:to>
    <xdr:sp macro="" textlink="">
      <xdr:nvSpPr>
        <xdr:cNvPr id="66179009" name="Line 61"/>
        <xdr:cNvSpPr>
          <a:spLocks noChangeShapeType="1"/>
        </xdr:cNvSpPr>
      </xdr:nvSpPr>
      <xdr:spPr bwMode="auto">
        <a:xfrm>
          <a:off x="8524875" y="2143125"/>
          <a:ext cx="0" cy="266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12</xdr:col>
      <xdr:colOff>9525</xdr:colOff>
      <xdr:row>26</xdr:row>
      <xdr:rowOff>76200</xdr:rowOff>
    </xdr:from>
    <xdr:to>
      <xdr:col>15</xdr:col>
      <xdr:colOff>161925</xdr:colOff>
      <xdr:row>26</xdr:row>
      <xdr:rowOff>76200</xdr:rowOff>
    </xdr:to>
    <xdr:sp macro="" textlink="">
      <xdr:nvSpPr>
        <xdr:cNvPr id="66179010" name="Line 63"/>
        <xdr:cNvSpPr>
          <a:spLocks noChangeShapeType="1"/>
        </xdr:cNvSpPr>
      </xdr:nvSpPr>
      <xdr:spPr bwMode="auto">
        <a:xfrm>
          <a:off x="6553200" y="4438650"/>
          <a:ext cx="12763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17</xdr:col>
      <xdr:colOff>0</xdr:colOff>
      <xdr:row>11</xdr:row>
      <xdr:rowOff>85725</xdr:rowOff>
    </xdr:from>
    <xdr:to>
      <xdr:col>17</xdr:col>
      <xdr:colOff>238125</xdr:colOff>
      <xdr:row>11</xdr:row>
      <xdr:rowOff>85725</xdr:rowOff>
    </xdr:to>
    <xdr:sp macro="" textlink="">
      <xdr:nvSpPr>
        <xdr:cNvPr id="66179011" name="Line 67"/>
        <xdr:cNvSpPr>
          <a:spLocks noChangeShapeType="1"/>
        </xdr:cNvSpPr>
      </xdr:nvSpPr>
      <xdr:spPr bwMode="auto">
        <a:xfrm>
          <a:off x="8848725" y="2019300"/>
          <a:ext cx="2381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19</xdr:col>
      <xdr:colOff>0</xdr:colOff>
      <xdr:row>11</xdr:row>
      <xdr:rowOff>85725</xdr:rowOff>
    </xdr:from>
    <xdr:to>
      <xdr:col>19</xdr:col>
      <xdr:colOff>247650</xdr:colOff>
      <xdr:row>11</xdr:row>
      <xdr:rowOff>85725</xdr:rowOff>
    </xdr:to>
    <xdr:sp macro="" textlink="">
      <xdr:nvSpPr>
        <xdr:cNvPr id="66179012" name="Line 68"/>
        <xdr:cNvSpPr>
          <a:spLocks noChangeShapeType="1"/>
        </xdr:cNvSpPr>
      </xdr:nvSpPr>
      <xdr:spPr bwMode="auto">
        <a:xfrm>
          <a:off x="9305925" y="2019300"/>
          <a:ext cx="2476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17</xdr:col>
      <xdr:colOff>0</xdr:colOff>
      <xdr:row>17</xdr:row>
      <xdr:rowOff>85725</xdr:rowOff>
    </xdr:from>
    <xdr:to>
      <xdr:col>17</xdr:col>
      <xdr:colOff>238125</xdr:colOff>
      <xdr:row>17</xdr:row>
      <xdr:rowOff>85725</xdr:rowOff>
    </xdr:to>
    <xdr:sp macro="" textlink="">
      <xdr:nvSpPr>
        <xdr:cNvPr id="66179013" name="Line 69"/>
        <xdr:cNvSpPr>
          <a:spLocks noChangeShapeType="1"/>
        </xdr:cNvSpPr>
      </xdr:nvSpPr>
      <xdr:spPr bwMode="auto">
        <a:xfrm>
          <a:off x="8848725" y="2990850"/>
          <a:ext cx="2381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19</xdr:col>
      <xdr:colOff>0</xdr:colOff>
      <xdr:row>17</xdr:row>
      <xdr:rowOff>85725</xdr:rowOff>
    </xdr:from>
    <xdr:to>
      <xdr:col>19</xdr:col>
      <xdr:colOff>247650</xdr:colOff>
      <xdr:row>17</xdr:row>
      <xdr:rowOff>85725</xdr:rowOff>
    </xdr:to>
    <xdr:sp macro="" textlink="">
      <xdr:nvSpPr>
        <xdr:cNvPr id="66179014" name="Line 70"/>
        <xdr:cNvSpPr>
          <a:spLocks noChangeShapeType="1"/>
        </xdr:cNvSpPr>
      </xdr:nvSpPr>
      <xdr:spPr bwMode="auto">
        <a:xfrm>
          <a:off x="9305925" y="2990850"/>
          <a:ext cx="2476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17</xdr:col>
      <xdr:colOff>0</xdr:colOff>
      <xdr:row>34</xdr:row>
      <xdr:rowOff>85725</xdr:rowOff>
    </xdr:from>
    <xdr:to>
      <xdr:col>17</xdr:col>
      <xdr:colOff>238125</xdr:colOff>
      <xdr:row>34</xdr:row>
      <xdr:rowOff>85725</xdr:rowOff>
    </xdr:to>
    <xdr:sp macro="" textlink="">
      <xdr:nvSpPr>
        <xdr:cNvPr id="66179015" name="Line 71"/>
        <xdr:cNvSpPr>
          <a:spLocks noChangeShapeType="1"/>
        </xdr:cNvSpPr>
      </xdr:nvSpPr>
      <xdr:spPr bwMode="auto">
        <a:xfrm>
          <a:off x="8848725" y="5743575"/>
          <a:ext cx="2381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19</xdr:col>
      <xdr:colOff>0</xdr:colOff>
      <xdr:row>34</xdr:row>
      <xdr:rowOff>85725</xdr:rowOff>
    </xdr:from>
    <xdr:to>
      <xdr:col>19</xdr:col>
      <xdr:colOff>247650</xdr:colOff>
      <xdr:row>34</xdr:row>
      <xdr:rowOff>85725</xdr:rowOff>
    </xdr:to>
    <xdr:sp macro="" textlink="">
      <xdr:nvSpPr>
        <xdr:cNvPr id="66179016" name="Line 72"/>
        <xdr:cNvSpPr>
          <a:spLocks noChangeShapeType="1"/>
        </xdr:cNvSpPr>
      </xdr:nvSpPr>
      <xdr:spPr bwMode="auto">
        <a:xfrm>
          <a:off x="9305925" y="5743575"/>
          <a:ext cx="2476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19</xdr:col>
      <xdr:colOff>0</xdr:colOff>
      <xdr:row>23</xdr:row>
      <xdr:rowOff>85725</xdr:rowOff>
    </xdr:from>
    <xdr:to>
      <xdr:col>19</xdr:col>
      <xdr:colOff>247650</xdr:colOff>
      <xdr:row>23</xdr:row>
      <xdr:rowOff>85725</xdr:rowOff>
    </xdr:to>
    <xdr:sp macro="" textlink="">
      <xdr:nvSpPr>
        <xdr:cNvPr id="66179017" name="Line 73"/>
        <xdr:cNvSpPr>
          <a:spLocks noChangeShapeType="1"/>
        </xdr:cNvSpPr>
      </xdr:nvSpPr>
      <xdr:spPr bwMode="auto">
        <a:xfrm>
          <a:off x="9305925" y="3962400"/>
          <a:ext cx="2476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285750</xdr:colOff>
      <xdr:row>23</xdr:row>
      <xdr:rowOff>76200</xdr:rowOff>
    </xdr:from>
    <xdr:to>
      <xdr:col>18</xdr:col>
      <xdr:colOff>0</xdr:colOff>
      <xdr:row>23</xdr:row>
      <xdr:rowOff>76200</xdr:rowOff>
    </xdr:to>
    <xdr:sp macro="" textlink="">
      <xdr:nvSpPr>
        <xdr:cNvPr id="66179018" name="Line 74"/>
        <xdr:cNvSpPr>
          <a:spLocks noChangeShapeType="1"/>
        </xdr:cNvSpPr>
      </xdr:nvSpPr>
      <xdr:spPr bwMode="auto">
        <a:xfrm>
          <a:off x="7953375" y="3952875"/>
          <a:ext cx="11334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20</xdr:col>
      <xdr:colOff>0</xdr:colOff>
      <xdr:row>17</xdr:row>
      <xdr:rowOff>85725</xdr:rowOff>
    </xdr:from>
    <xdr:to>
      <xdr:col>20</xdr:col>
      <xdr:colOff>190500</xdr:colOff>
      <xdr:row>17</xdr:row>
      <xdr:rowOff>85725</xdr:rowOff>
    </xdr:to>
    <xdr:sp macro="" textlink="">
      <xdr:nvSpPr>
        <xdr:cNvPr id="66179019" name="Line 76"/>
        <xdr:cNvSpPr>
          <a:spLocks noChangeShapeType="1"/>
        </xdr:cNvSpPr>
      </xdr:nvSpPr>
      <xdr:spPr bwMode="auto">
        <a:xfrm>
          <a:off x="9553575" y="2990850"/>
          <a:ext cx="1905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  <xdr:twoCellAnchor>
    <xdr:from>
      <xdr:col>10</xdr:col>
      <xdr:colOff>295275</xdr:colOff>
      <xdr:row>26</xdr:row>
      <xdr:rowOff>85725</xdr:rowOff>
    </xdr:from>
    <xdr:to>
      <xdr:col>11</xdr:col>
      <xdr:colOff>0</xdr:colOff>
      <xdr:row>26</xdr:row>
      <xdr:rowOff>85725</xdr:rowOff>
    </xdr:to>
    <xdr:sp macro="" textlink="">
      <xdr:nvSpPr>
        <xdr:cNvPr id="66179020" name="Line 77"/>
        <xdr:cNvSpPr>
          <a:spLocks noChangeShapeType="1"/>
        </xdr:cNvSpPr>
      </xdr:nvSpPr>
      <xdr:spPr bwMode="auto">
        <a:xfrm>
          <a:off x="6248400" y="4448175"/>
          <a:ext cx="1143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152400</xdr:colOff>
      <xdr:row>26</xdr:row>
      <xdr:rowOff>76200</xdr:rowOff>
    </xdr:from>
    <xdr:to>
      <xdr:col>15</xdr:col>
      <xdr:colOff>152400</xdr:colOff>
      <xdr:row>38</xdr:row>
      <xdr:rowOff>95250</xdr:rowOff>
    </xdr:to>
    <xdr:sp macro="" textlink="">
      <xdr:nvSpPr>
        <xdr:cNvPr id="66179021" name="Line 80"/>
        <xdr:cNvSpPr>
          <a:spLocks noChangeShapeType="1"/>
        </xdr:cNvSpPr>
      </xdr:nvSpPr>
      <xdr:spPr bwMode="auto">
        <a:xfrm>
          <a:off x="7820025" y="4438650"/>
          <a:ext cx="0" cy="19621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400050</xdr:colOff>
      <xdr:row>15</xdr:row>
      <xdr:rowOff>9525</xdr:rowOff>
    </xdr:from>
    <xdr:to>
      <xdr:col>16</xdr:col>
      <xdr:colOff>400050</xdr:colOff>
      <xdr:row>17</xdr:row>
      <xdr:rowOff>9525</xdr:rowOff>
    </xdr:to>
    <xdr:sp macro="" textlink="">
      <xdr:nvSpPr>
        <xdr:cNvPr id="66179022" name="Line 87"/>
        <xdr:cNvSpPr>
          <a:spLocks noChangeShapeType="1"/>
        </xdr:cNvSpPr>
      </xdr:nvSpPr>
      <xdr:spPr bwMode="auto">
        <a:xfrm>
          <a:off x="8524875" y="2590800"/>
          <a:ext cx="0" cy="3238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152400</xdr:colOff>
      <xdr:row>34</xdr:row>
      <xdr:rowOff>85725</xdr:rowOff>
    </xdr:from>
    <xdr:to>
      <xdr:col>15</xdr:col>
      <xdr:colOff>447675</xdr:colOff>
      <xdr:row>34</xdr:row>
      <xdr:rowOff>85725</xdr:rowOff>
    </xdr:to>
    <xdr:sp macro="" textlink="">
      <xdr:nvSpPr>
        <xdr:cNvPr id="66179023" name="Line 88"/>
        <xdr:cNvSpPr>
          <a:spLocks noChangeShapeType="1"/>
        </xdr:cNvSpPr>
      </xdr:nvSpPr>
      <xdr:spPr bwMode="auto">
        <a:xfrm>
          <a:off x="7820025" y="5743575"/>
          <a:ext cx="2952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20</xdr:col>
      <xdr:colOff>0</xdr:colOff>
      <xdr:row>11</xdr:row>
      <xdr:rowOff>85725</xdr:rowOff>
    </xdr:from>
    <xdr:to>
      <xdr:col>20</xdr:col>
      <xdr:colOff>0</xdr:colOff>
      <xdr:row>34</xdr:row>
      <xdr:rowOff>85725</xdr:rowOff>
    </xdr:to>
    <xdr:sp macro="" textlink="">
      <xdr:nvSpPr>
        <xdr:cNvPr id="66179024" name="Line 89"/>
        <xdr:cNvSpPr>
          <a:spLocks noChangeShapeType="1"/>
        </xdr:cNvSpPr>
      </xdr:nvSpPr>
      <xdr:spPr bwMode="auto">
        <a:xfrm>
          <a:off x="9553575" y="2019300"/>
          <a:ext cx="0" cy="37242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152400</xdr:colOff>
      <xdr:row>36</xdr:row>
      <xdr:rowOff>66675</xdr:rowOff>
    </xdr:from>
    <xdr:to>
      <xdr:col>15</xdr:col>
      <xdr:colOff>161925</xdr:colOff>
      <xdr:row>36</xdr:row>
      <xdr:rowOff>66675</xdr:rowOff>
    </xdr:to>
    <xdr:sp macro="" textlink="">
      <xdr:nvSpPr>
        <xdr:cNvPr id="66179025" name="Line 90"/>
        <xdr:cNvSpPr>
          <a:spLocks noChangeShapeType="1"/>
        </xdr:cNvSpPr>
      </xdr:nvSpPr>
      <xdr:spPr bwMode="auto">
        <a:xfrm>
          <a:off x="7820025" y="6048375"/>
          <a:ext cx="95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9525</xdr:colOff>
      <xdr:row>35</xdr:row>
      <xdr:rowOff>85725</xdr:rowOff>
    </xdr:from>
    <xdr:to>
      <xdr:col>15</xdr:col>
      <xdr:colOff>152400</xdr:colOff>
      <xdr:row>35</xdr:row>
      <xdr:rowOff>85725</xdr:rowOff>
    </xdr:to>
    <xdr:sp macro="" textlink="">
      <xdr:nvSpPr>
        <xdr:cNvPr id="66179026" name="Line 91"/>
        <xdr:cNvSpPr>
          <a:spLocks noChangeShapeType="1"/>
        </xdr:cNvSpPr>
      </xdr:nvSpPr>
      <xdr:spPr bwMode="auto">
        <a:xfrm>
          <a:off x="4505325" y="5905500"/>
          <a:ext cx="33147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12</xdr:col>
      <xdr:colOff>0</xdr:colOff>
      <xdr:row>29</xdr:row>
      <xdr:rowOff>76200</xdr:rowOff>
    </xdr:from>
    <xdr:to>
      <xdr:col>15</xdr:col>
      <xdr:colOff>152400</xdr:colOff>
      <xdr:row>29</xdr:row>
      <xdr:rowOff>76200</xdr:rowOff>
    </xdr:to>
    <xdr:sp macro="" textlink="">
      <xdr:nvSpPr>
        <xdr:cNvPr id="66179027" name="Line 92"/>
        <xdr:cNvSpPr>
          <a:spLocks noChangeShapeType="1"/>
        </xdr:cNvSpPr>
      </xdr:nvSpPr>
      <xdr:spPr bwMode="auto">
        <a:xfrm>
          <a:off x="6543675" y="4924425"/>
          <a:ext cx="12763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9525</xdr:colOff>
      <xdr:row>38</xdr:row>
      <xdr:rowOff>85725</xdr:rowOff>
    </xdr:from>
    <xdr:to>
      <xdr:col>15</xdr:col>
      <xdr:colOff>152400</xdr:colOff>
      <xdr:row>38</xdr:row>
      <xdr:rowOff>85725</xdr:rowOff>
    </xdr:to>
    <xdr:sp macro="" textlink="">
      <xdr:nvSpPr>
        <xdr:cNvPr id="66179028" name="Line 93"/>
        <xdr:cNvSpPr>
          <a:spLocks noChangeShapeType="1"/>
        </xdr:cNvSpPr>
      </xdr:nvSpPr>
      <xdr:spPr bwMode="auto">
        <a:xfrm>
          <a:off x="4505325" y="6391275"/>
          <a:ext cx="33147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9525</xdr:colOff>
      <xdr:row>31</xdr:row>
      <xdr:rowOff>85725</xdr:rowOff>
    </xdr:from>
    <xdr:to>
      <xdr:col>15</xdr:col>
      <xdr:colOff>152400</xdr:colOff>
      <xdr:row>31</xdr:row>
      <xdr:rowOff>85725</xdr:rowOff>
    </xdr:to>
    <xdr:sp macro="" textlink="">
      <xdr:nvSpPr>
        <xdr:cNvPr id="66179029" name="Line 94"/>
        <xdr:cNvSpPr>
          <a:spLocks noChangeShapeType="1"/>
        </xdr:cNvSpPr>
      </xdr:nvSpPr>
      <xdr:spPr bwMode="auto">
        <a:xfrm>
          <a:off x="4505325" y="5257800"/>
          <a:ext cx="33147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20</xdr:row>
      <xdr:rowOff>95250</xdr:rowOff>
    </xdr:from>
    <xdr:to>
      <xdr:col>15</xdr:col>
      <xdr:colOff>171450</xdr:colOff>
      <xdr:row>20</xdr:row>
      <xdr:rowOff>95250</xdr:rowOff>
    </xdr:to>
    <xdr:sp macro="" textlink="">
      <xdr:nvSpPr>
        <xdr:cNvPr id="66179030" name="Line 95"/>
        <xdr:cNvSpPr>
          <a:spLocks noChangeShapeType="1"/>
        </xdr:cNvSpPr>
      </xdr:nvSpPr>
      <xdr:spPr bwMode="auto">
        <a:xfrm>
          <a:off x="4495800" y="3486150"/>
          <a:ext cx="33432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12</xdr:col>
      <xdr:colOff>9525</xdr:colOff>
      <xdr:row>17</xdr:row>
      <xdr:rowOff>76200</xdr:rowOff>
    </xdr:from>
    <xdr:to>
      <xdr:col>16</xdr:col>
      <xdr:colOff>0</xdr:colOff>
      <xdr:row>17</xdr:row>
      <xdr:rowOff>76200</xdr:rowOff>
    </xdr:to>
    <xdr:sp macro="" textlink="">
      <xdr:nvSpPr>
        <xdr:cNvPr id="66179031" name="Line 96"/>
        <xdr:cNvSpPr>
          <a:spLocks noChangeShapeType="1"/>
        </xdr:cNvSpPr>
      </xdr:nvSpPr>
      <xdr:spPr bwMode="auto">
        <a:xfrm>
          <a:off x="6553200" y="2981325"/>
          <a:ext cx="15716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</xdr:row>
      <xdr:rowOff>76200</xdr:rowOff>
    </xdr:from>
    <xdr:to>
      <xdr:col>15</xdr:col>
      <xdr:colOff>171450</xdr:colOff>
      <xdr:row>16</xdr:row>
      <xdr:rowOff>76200</xdr:rowOff>
    </xdr:to>
    <xdr:sp macro="" textlink="">
      <xdr:nvSpPr>
        <xdr:cNvPr id="66179032" name="Line 97"/>
        <xdr:cNvSpPr>
          <a:spLocks noChangeShapeType="1"/>
        </xdr:cNvSpPr>
      </xdr:nvSpPr>
      <xdr:spPr bwMode="auto">
        <a:xfrm>
          <a:off x="4495800" y="2819400"/>
          <a:ext cx="33432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152400</xdr:colOff>
      <xdr:row>14</xdr:row>
      <xdr:rowOff>76200</xdr:rowOff>
    </xdr:from>
    <xdr:to>
      <xdr:col>15</xdr:col>
      <xdr:colOff>171450</xdr:colOff>
      <xdr:row>14</xdr:row>
      <xdr:rowOff>76200</xdr:rowOff>
    </xdr:to>
    <xdr:sp macro="" textlink="">
      <xdr:nvSpPr>
        <xdr:cNvPr id="66179033" name="Line 98"/>
        <xdr:cNvSpPr>
          <a:spLocks noChangeShapeType="1"/>
        </xdr:cNvSpPr>
      </xdr:nvSpPr>
      <xdr:spPr bwMode="auto">
        <a:xfrm>
          <a:off x="4486275" y="2495550"/>
          <a:ext cx="33528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247650</xdr:colOff>
      <xdr:row>14</xdr:row>
      <xdr:rowOff>85725</xdr:rowOff>
    </xdr:from>
    <xdr:to>
      <xdr:col>5</xdr:col>
      <xdr:colOff>0</xdr:colOff>
      <xdr:row>14</xdr:row>
      <xdr:rowOff>85725</xdr:rowOff>
    </xdr:to>
    <xdr:sp macro="" textlink="">
      <xdr:nvSpPr>
        <xdr:cNvPr id="66179034" name="Line 99"/>
        <xdr:cNvSpPr>
          <a:spLocks noChangeShapeType="1"/>
        </xdr:cNvSpPr>
      </xdr:nvSpPr>
      <xdr:spPr bwMode="auto">
        <a:xfrm>
          <a:off x="1238250" y="2505075"/>
          <a:ext cx="1800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  <xdr:twoCellAnchor>
    <xdr:from>
      <xdr:col>2</xdr:col>
      <xdr:colOff>9525</xdr:colOff>
      <xdr:row>31</xdr:row>
      <xdr:rowOff>85725</xdr:rowOff>
    </xdr:from>
    <xdr:to>
      <xdr:col>5</xdr:col>
      <xdr:colOff>0</xdr:colOff>
      <xdr:row>31</xdr:row>
      <xdr:rowOff>85725</xdr:rowOff>
    </xdr:to>
    <xdr:sp macro="" textlink="">
      <xdr:nvSpPr>
        <xdr:cNvPr id="66179035" name="Line 100"/>
        <xdr:cNvSpPr>
          <a:spLocks noChangeShapeType="1"/>
        </xdr:cNvSpPr>
      </xdr:nvSpPr>
      <xdr:spPr bwMode="auto">
        <a:xfrm>
          <a:off x="1257300" y="5257800"/>
          <a:ext cx="17811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  <xdr:twoCellAnchor>
    <xdr:from>
      <xdr:col>1</xdr:col>
      <xdr:colOff>238125</xdr:colOff>
      <xdr:row>26</xdr:row>
      <xdr:rowOff>76200</xdr:rowOff>
    </xdr:from>
    <xdr:to>
      <xdr:col>8</xdr:col>
      <xdr:colOff>495300</xdr:colOff>
      <xdr:row>26</xdr:row>
      <xdr:rowOff>85725</xdr:rowOff>
    </xdr:to>
    <xdr:sp macro="" textlink="">
      <xdr:nvSpPr>
        <xdr:cNvPr id="66179036" name="Line 101"/>
        <xdr:cNvSpPr>
          <a:spLocks noChangeShapeType="1"/>
        </xdr:cNvSpPr>
      </xdr:nvSpPr>
      <xdr:spPr bwMode="auto">
        <a:xfrm>
          <a:off x="1228725" y="4438650"/>
          <a:ext cx="3762375" cy="95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  <xdr:twoCellAnchor>
    <xdr:from>
      <xdr:col>4</xdr:col>
      <xdr:colOff>219075</xdr:colOff>
      <xdr:row>9</xdr:row>
      <xdr:rowOff>76200</xdr:rowOff>
    </xdr:from>
    <xdr:to>
      <xdr:col>5</xdr:col>
      <xdr:colOff>0</xdr:colOff>
      <xdr:row>9</xdr:row>
      <xdr:rowOff>76200</xdr:rowOff>
    </xdr:to>
    <xdr:sp macro="" textlink="">
      <xdr:nvSpPr>
        <xdr:cNvPr id="66179037" name="Line 102"/>
        <xdr:cNvSpPr>
          <a:spLocks noChangeShapeType="1"/>
        </xdr:cNvSpPr>
      </xdr:nvSpPr>
      <xdr:spPr bwMode="auto">
        <a:xfrm>
          <a:off x="2676525" y="1685925"/>
          <a:ext cx="361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  <xdr:twoCellAnchor>
    <xdr:from>
      <xdr:col>4</xdr:col>
      <xdr:colOff>0</xdr:colOff>
      <xdr:row>23</xdr:row>
      <xdr:rowOff>114300</xdr:rowOff>
    </xdr:from>
    <xdr:to>
      <xdr:col>5</xdr:col>
      <xdr:colOff>0</xdr:colOff>
      <xdr:row>23</xdr:row>
      <xdr:rowOff>133350</xdr:rowOff>
    </xdr:to>
    <xdr:sp macro="" textlink="">
      <xdr:nvSpPr>
        <xdr:cNvPr id="66179038" name="Line 103"/>
        <xdr:cNvSpPr>
          <a:spLocks noChangeShapeType="1"/>
        </xdr:cNvSpPr>
      </xdr:nvSpPr>
      <xdr:spPr bwMode="auto">
        <a:xfrm flipV="1">
          <a:off x="2457450" y="3990975"/>
          <a:ext cx="581025" cy="190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  <xdr:twoCellAnchor>
    <xdr:from>
      <xdr:col>10</xdr:col>
      <xdr:colOff>9525</xdr:colOff>
      <xdr:row>23</xdr:row>
      <xdr:rowOff>76200</xdr:rowOff>
    </xdr:from>
    <xdr:to>
      <xdr:col>11</xdr:col>
      <xdr:colOff>0</xdr:colOff>
      <xdr:row>23</xdr:row>
      <xdr:rowOff>76200</xdr:rowOff>
    </xdr:to>
    <xdr:sp macro="" textlink="">
      <xdr:nvSpPr>
        <xdr:cNvPr id="66179039" name="Line 104"/>
        <xdr:cNvSpPr>
          <a:spLocks noChangeShapeType="1"/>
        </xdr:cNvSpPr>
      </xdr:nvSpPr>
      <xdr:spPr bwMode="auto">
        <a:xfrm>
          <a:off x="5962650" y="3952875"/>
          <a:ext cx="4000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  <xdr:twoCellAnchor>
    <xdr:from>
      <xdr:col>2</xdr:col>
      <xdr:colOff>28575</xdr:colOff>
      <xdr:row>9</xdr:row>
      <xdr:rowOff>133350</xdr:rowOff>
    </xdr:from>
    <xdr:to>
      <xdr:col>4</xdr:col>
      <xdr:colOff>200025</xdr:colOff>
      <xdr:row>9</xdr:row>
      <xdr:rowOff>133350</xdr:rowOff>
    </xdr:to>
    <xdr:sp macro="" textlink="">
      <xdr:nvSpPr>
        <xdr:cNvPr id="66179040" name="Line 105"/>
        <xdr:cNvSpPr>
          <a:spLocks noChangeShapeType="1"/>
        </xdr:cNvSpPr>
      </xdr:nvSpPr>
      <xdr:spPr bwMode="auto">
        <a:xfrm>
          <a:off x="1276350" y="1743075"/>
          <a:ext cx="13811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</xdr:col>
      <xdr:colOff>28575</xdr:colOff>
      <xdr:row>10</xdr:row>
      <xdr:rowOff>95250</xdr:rowOff>
    </xdr:from>
    <xdr:to>
      <xdr:col>4</xdr:col>
      <xdr:colOff>209550</xdr:colOff>
      <xdr:row>10</xdr:row>
      <xdr:rowOff>95250</xdr:rowOff>
    </xdr:to>
    <xdr:sp macro="" textlink="">
      <xdr:nvSpPr>
        <xdr:cNvPr id="66179041" name="Line 106"/>
        <xdr:cNvSpPr>
          <a:spLocks noChangeShapeType="1"/>
        </xdr:cNvSpPr>
      </xdr:nvSpPr>
      <xdr:spPr bwMode="auto">
        <a:xfrm>
          <a:off x="1276350" y="1866900"/>
          <a:ext cx="13906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</xdr:col>
      <xdr:colOff>28575</xdr:colOff>
      <xdr:row>11</xdr:row>
      <xdr:rowOff>95250</xdr:rowOff>
    </xdr:from>
    <xdr:to>
      <xdr:col>4</xdr:col>
      <xdr:colOff>219075</xdr:colOff>
      <xdr:row>11</xdr:row>
      <xdr:rowOff>95250</xdr:rowOff>
    </xdr:to>
    <xdr:sp macro="" textlink="">
      <xdr:nvSpPr>
        <xdr:cNvPr id="66179042" name="Line 107"/>
        <xdr:cNvSpPr>
          <a:spLocks noChangeShapeType="1"/>
        </xdr:cNvSpPr>
      </xdr:nvSpPr>
      <xdr:spPr bwMode="auto">
        <a:xfrm>
          <a:off x="1276350" y="2028825"/>
          <a:ext cx="14001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</xdr:col>
      <xdr:colOff>28575</xdr:colOff>
      <xdr:row>35</xdr:row>
      <xdr:rowOff>95250</xdr:rowOff>
    </xdr:from>
    <xdr:to>
      <xdr:col>4</xdr:col>
      <xdr:colOff>171450</xdr:colOff>
      <xdr:row>35</xdr:row>
      <xdr:rowOff>95250</xdr:rowOff>
    </xdr:to>
    <xdr:sp macro="" textlink="">
      <xdr:nvSpPr>
        <xdr:cNvPr id="66179043" name="Line 113"/>
        <xdr:cNvSpPr>
          <a:spLocks noChangeShapeType="1"/>
        </xdr:cNvSpPr>
      </xdr:nvSpPr>
      <xdr:spPr bwMode="auto">
        <a:xfrm>
          <a:off x="1276350" y="5915025"/>
          <a:ext cx="1352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</xdr:col>
      <xdr:colOff>28575</xdr:colOff>
      <xdr:row>36</xdr:row>
      <xdr:rowOff>95250</xdr:rowOff>
    </xdr:from>
    <xdr:to>
      <xdr:col>4</xdr:col>
      <xdr:colOff>190500</xdr:colOff>
      <xdr:row>36</xdr:row>
      <xdr:rowOff>95250</xdr:rowOff>
    </xdr:to>
    <xdr:sp macro="" textlink="">
      <xdr:nvSpPr>
        <xdr:cNvPr id="66179044" name="Line 114"/>
        <xdr:cNvSpPr>
          <a:spLocks noChangeShapeType="1"/>
        </xdr:cNvSpPr>
      </xdr:nvSpPr>
      <xdr:spPr bwMode="auto">
        <a:xfrm>
          <a:off x="1276350" y="6076950"/>
          <a:ext cx="13716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6</xdr:col>
      <xdr:colOff>9525</xdr:colOff>
      <xdr:row>31</xdr:row>
      <xdr:rowOff>85725</xdr:rowOff>
    </xdr:from>
    <xdr:to>
      <xdr:col>6</xdr:col>
      <xdr:colOff>361950</xdr:colOff>
      <xdr:row>31</xdr:row>
      <xdr:rowOff>85725</xdr:rowOff>
    </xdr:to>
    <xdr:sp macro="" textlink="">
      <xdr:nvSpPr>
        <xdr:cNvPr id="66179045" name="Line 116"/>
        <xdr:cNvSpPr>
          <a:spLocks noChangeShapeType="1"/>
        </xdr:cNvSpPr>
      </xdr:nvSpPr>
      <xdr:spPr bwMode="auto">
        <a:xfrm>
          <a:off x="3981450" y="5257800"/>
          <a:ext cx="3524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6</xdr:col>
      <xdr:colOff>9525</xdr:colOff>
      <xdr:row>35</xdr:row>
      <xdr:rowOff>85725</xdr:rowOff>
    </xdr:from>
    <xdr:to>
      <xdr:col>6</xdr:col>
      <xdr:colOff>361950</xdr:colOff>
      <xdr:row>35</xdr:row>
      <xdr:rowOff>85725</xdr:rowOff>
    </xdr:to>
    <xdr:sp macro="" textlink="">
      <xdr:nvSpPr>
        <xdr:cNvPr id="66179046" name="Line 117"/>
        <xdr:cNvSpPr>
          <a:spLocks noChangeShapeType="1"/>
        </xdr:cNvSpPr>
      </xdr:nvSpPr>
      <xdr:spPr bwMode="auto">
        <a:xfrm>
          <a:off x="3981450" y="5905500"/>
          <a:ext cx="3524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6</xdr:col>
      <xdr:colOff>9525</xdr:colOff>
      <xdr:row>38</xdr:row>
      <xdr:rowOff>85725</xdr:rowOff>
    </xdr:from>
    <xdr:to>
      <xdr:col>6</xdr:col>
      <xdr:colOff>361950</xdr:colOff>
      <xdr:row>38</xdr:row>
      <xdr:rowOff>85725</xdr:rowOff>
    </xdr:to>
    <xdr:sp macro="" textlink="">
      <xdr:nvSpPr>
        <xdr:cNvPr id="66179047" name="Line 118"/>
        <xdr:cNvSpPr>
          <a:spLocks noChangeShapeType="1"/>
        </xdr:cNvSpPr>
      </xdr:nvSpPr>
      <xdr:spPr bwMode="auto">
        <a:xfrm>
          <a:off x="3981450" y="6391275"/>
          <a:ext cx="3524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9525</xdr:colOff>
      <xdr:row>26</xdr:row>
      <xdr:rowOff>85725</xdr:rowOff>
    </xdr:from>
    <xdr:to>
      <xdr:col>10</xdr:col>
      <xdr:colOff>409575</xdr:colOff>
      <xdr:row>26</xdr:row>
      <xdr:rowOff>85725</xdr:rowOff>
    </xdr:to>
    <xdr:sp macro="" textlink="">
      <xdr:nvSpPr>
        <xdr:cNvPr id="66179048" name="Line 119"/>
        <xdr:cNvSpPr>
          <a:spLocks noChangeShapeType="1"/>
        </xdr:cNvSpPr>
      </xdr:nvSpPr>
      <xdr:spPr bwMode="auto">
        <a:xfrm>
          <a:off x="5962650" y="4448175"/>
          <a:ext cx="4000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9525</xdr:colOff>
      <xdr:row>29</xdr:row>
      <xdr:rowOff>85725</xdr:rowOff>
    </xdr:from>
    <xdr:to>
      <xdr:col>10</xdr:col>
      <xdr:colOff>409575</xdr:colOff>
      <xdr:row>29</xdr:row>
      <xdr:rowOff>85725</xdr:rowOff>
    </xdr:to>
    <xdr:sp macro="" textlink="">
      <xdr:nvSpPr>
        <xdr:cNvPr id="66179049" name="Line 120"/>
        <xdr:cNvSpPr>
          <a:spLocks noChangeShapeType="1"/>
        </xdr:cNvSpPr>
      </xdr:nvSpPr>
      <xdr:spPr bwMode="auto">
        <a:xfrm>
          <a:off x="5962650" y="4933950"/>
          <a:ext cx="4000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6</xdr:col>
      <xdr:colOff>9525</xdr:colOff>
      <xdr:row>16</xdr:row>
      <xdr:rowOff>85725</xdr:rowOff>
    </xdr:from>
    <xdr:to>
      <xdr:col>6</xdr:col>
      <xdr:colOff>361950</xdr:colOff>
      <xdr:row>16</xdr:row>
      <xdr:rowOff>85725</xdr:rowOff>
    </xdr:to>
    <xdr:sp macro="" textlink="">
      <xdr:nvSpPr>
        <xdr:cNvPr id="66179050" name="Line 121"/>
        <xdr:cNvSpPr>
          <a:spLocks noChangeShapeType="1"/>
        </xdr:cNvSpPr>
      </xdr:nvSpPr>
      <xdr:spPr bwMode="auto">
        <a:xfrm>
          <a:off x="3981450" y="2828925"/>
          <a:ext cx="3524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6</xdr:col>
      <xdr:colOff>9525</xdr:colOff>
      <xdr:row>18</xdr:row>
      <xdr:rowOff>95250</xdr:rowOff>
    </xdr:from>
    <xdr:to>
      <xdr:col>7</xdr:col>
      <xdr:colOff>9525</xdr:colOff>
      <xdr:row>18</xdr:row>
      <xdr:rowOff>95250</xdr:rowOff>
    </xdr:to>
    <xdr:sp macro="" textlink="">
      <xdr:nvSpPr>
        <xdr:cNvPr id="66179051" name="Line 127"/>
        <xdr:cNvSpPr>
          <a:spLocks noChangeShapeType="1"/>
        </xdr:cNvSpPr>
      </xdr:nvSpPr>
      <xdr:spPr bwMode="auto">
        <a:xfrm flipV="1">
          <a:off x="3981450" y="3162300"/>
          <a:ext cx="361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28575</xdr:colOff>
      <xdr:row>18</xdr:row>
      <xdr:rowOff>85725</xdr:rowOff>
    </xdr:from>
    <xdr:to>
      <xdr:col>15</xdr:col>
      <xdr:colOff>171450</xdr:colOff>
      <xdr:row>18</xdr:row>
      <xdr:rowOff>95250</xdr:rowOff>
    </xdr:to>
    <xdr:sp macro="" textlink="">
      <xdr:nvSpPr>
        <xdr:cNvPr id="66179052" name="Line 128"/>
        <xdr:cNvSpPr>
          <a:spLocks noChangeShapeType="1"/>
        </xdr:cNvSpPr>
      </xdr:nvSpPr>
      <xdr:spPr bwMode="auto">
        <a:xfrm flipV="1">
          <a:off x="4524375" y="3152775"/>
          <a:ext cx="3314700" cy="95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123825</xdr:colOff>
      <xdr:row>14</xdr:row>
      <xdr:rowOff>104775</xdr:rowOff>
    </xdr:from>
    <xdr:to>
      <xdr:col>4</xdr:col>
      <xdr:colOff>561975</xdr:colOff>
      <xdr:row>15</xdr:row>
      <xdr:rowOff>66675</xdr:rowOff>
    </xdr:to>
    <xdr:sp macro="" textlink="">
      <xdr:nvSpPr>
        <xdr:cNvPr id="66179053" name="Line 129"/>
        <xdr:cNvSpPr>
          <a:spLocks noChangeShapeType="1"/>
        </xdr:cNvSpPr>
      </xdr:nvSpPr>
      <xdr:spPr bwMode="auto">
        <a:xfrm flipV="1">
          <a:off x="2581275" y="2524125"/>
          <a:ext cx="438150" cy="1238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  <xdr:twoCellAnchor>
    <xdr:from>
      <xdr:col>4</xdr:col>
      <xdr:colOff>9525</xdr:colOff>
      <xdr:row>26</xdr:row>
      <xdr:rowOff>95250</xdr:rowOff>
    </xdr:from>
    <xdr:to>
      <xdr:col>8</xdr:col>
      <xdr:colOff>466725</xdr:colOff>
      <xdr:row>27</xdr:row>
      <xdr:rowOff>95250</xdr:rowOff>
    </xdr:to>
    <xdr:sp macro="" textlink="">
      <xdr:nvSpPr>
        <xdr:cNvPr id="66179054" name="Line 130"/>
        <xdr:cNvSpPr>
          <a:spLocks noChangeShapeType="1"/>
        </xdr:cNvSpPr>
      </xdr:nvSpPr>
      <xdr:spPr bwMode="auto">
        <a:xfrm flipV="1">
          <a:off x="2466975" y="4457700"/>
          <a:ext cx="2495550" cy="161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  <xdr:twoCellAnchor>
    <xdr:from>
      <xdr:col>4</xdr:col>
      <xdr:colOff>9525</xdr:colOff>
      <xdr:row>18</xdr:row>
      <xdr:rowOff>9525</xdr:rowOff>
    </xdr:from>
    <xdr:to>
      <xdr:col>4</xdr:col>
      <xdr:colOff>533400</xdr:colOff>
      <xdr:row>18</xdr:row>
      <xdr:rowOff>47625</xdr:rowOff>
    </xdr:to>
    <xdr:sp macro="" textlink="">
      <xdr:nvSpPr>
        <xdr:cNvPr id="66179055" name="Line 131"/>
        <xdr:cNvSpPr>
          <a:spLocks noChangeShapeType="1"/>
        </xdr:cNvSpPr>
      </xdr:nvSpPr>
      <xdr:spPr bwMode="auto">
        <a:xfrm>
          <a:off x="2466975" y="3076575"/>
          <a:ext cx="523875" cy="381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  <xdr:twoCellAnchor>
    <xdr:from>
      <xdr:col>2</xdr:col>
      <xdr:colOff>28575</xdr:colOff>
      <xdr:row>8</xdr:row>
      <xdr:rowOff>95250</xdr:rowOff>
    </xdr:from>
    <xdr:to>
      <xdr:col>4</xdr:col>
      <xdr:colOff>200025</xdr:colOff>
      <xdr:row>8</xdr:row>
      <xdr:rowOff>95250</xdr:rowOff>
    </xdr:to>
    <xdr:sp macro="" textlink="">
      <xdr:nvSpPr>
        <xdr:cNvPr id="66179056" name="Line 2"/>
        <xdr:cNvSpPr>
          <a:spLocks noChangeShapeType="1"/>
        </xdr:cNvSpPr>
      </xdr:nvSpPr>
      <xdr:spPr bwMode="auto">
        <a:xfrm>
          <a:off x="1276350" y="1543050"/>
          <a:ext cx="13811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209550</xdr:colOff>
      <xdr:row>8</xdr:row>
      <xdr:rowOff>85725</xdr:rowOff>
    </xdr:from>
    <xdr:to>
      <xdr:col>4</xdr:col>
      <xdr:colOff>209550</xdr:colOff>
      <xdr:row>11</xdr:row>
      <xdr:rowOff>85725</xdr:rowOff>
    </xdr:to>
    <xdr:sp macro="" textlink="">
      <xdr:nvSpPr>
        <xdr:cNvPr id="66179057" name="Line 15"/>
        <xdr:cNvSpPr>
          <a:spLocks noChangeShapeType="1"/>
        </xdr:cNvSpPr>
      </xdr:nvSpPr>
      <xdr:spPr bwMode="auto">
        <a:xfrm>
          <a:off x="2667000" y="1533525"/>
          <a:ext cx="0" cy="4857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</xdr:col>
      <xdr:colOff>361950</xdr:colOff>
      <xdr:row>14</xdr:row>
      <xdr:rowOff>85725</xdr:rowOff>
    </xdr:from>
    <xdr:to>
      <xdr:col>3</xdr:col>
      <xdr:colOff>0</xdr:colOff>
      <xdr:row>14</xdr:row>
      <xdr:rowOff>85725</xdr:rowOff>
    </xdr:to>
    <xdr:sp macro="" textlink="">
      <xdr:nvSpPr>
        <xdr:cNvPr id="66179058" name="Line 17"/>
        <xdr:cNvSpPr>
          <a:spLocks noChangeShapeType="1"/>
        </xdr:cNvSpPr>
      </xdr:nvSpPr>
      <xdr:spPr bwMode="auto">
        <a:xfrm>
          <a:off x="1590675" y="2505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6</xdr:col>
      <xdr:colOff>9525</xdr:colOff>
      <xdr:row>14</xdr:row>
      <xdr:rowOff>85725</xdr:rowOff>
    </xdr:from>
    <xdr:to>
      <xdr:col>6</xdr:col>
      <xdr:colOff>361950</xdr:colOff>
      <xdr:row>14</xdr:row>
      <xdr:rowOff>85725</xdr:rowOff>
    </xdr:to>
    <xdr:sp macro="" textlink="">
      <xdr:nvSpPr>
        <xdr:cNvPr id="66179059" name="Line 19"/>
        <xdr:cNvSpPr>
          <a:spLocks noChangeShapeType="1"/>
        </xdr:cNvSpPr>
      </xdr:nvSpPr>
      <xdr:spPr bwMode="auto">
        <a:xfrm>
          <a:off x="3981450" y="2505075"/>
          <a:ext cx="3524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6</xdr:col>
      <xdr:colOff>9525</xdr:colOff>
      <xdr:row>20</xdr:row>
      <xdr:rowOff>85725</xdr:rowOff>
    </xdr:from>
    <xdr:to>
      <xdr:col>6</xdr:col>
      <xdr:colOff>361950</xdr:colOff>
      <xdr:row>20</xdr:row>
      <xdr:rowOff>85725</xdr:rowOff>
    </xdr:to>
    <xdr:sp macro="" textlink="">
      <xdr:nvSpPr>
        <xdr:cNvPr id="66179060" name="Line 24"/>
        <xdr:cNvSpPr>
          <a:spLocks noChangeShapeType="1"/>
        </xdr:cNvSpPr>
      </xdr:nvSpPr>
      <xdr:spPr bwMode="auto">
        <a:xfrm>
          <a:off x="3981450" y="3476625"/>
          <a:ext cx="3524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9525</xdr:colOff>
      <xdr:row>17</xdr:row>
      <xdr:rowOff>85725</xdr:rowOff>
    </xdr:from>
    <xdr:to>
      <xdr:col>10</xdr:col>
      <xdr:colOff>409575</xdr:colOff>
      <xdr:row>17</xdr:row>
      <xdr:rowOff>85725</xdr:rowOff>
    </xdr:to>
    <xdr:sp macro="" textlink="">
      <xdr:nvSpPr>
        <xdr:cNvPr id="66179061" name="Line 26"/>
        <xdr:cNvSpPr>
          <a:spLocks noChangeShapeType="1"/>
        </xdr:cNvSpPr>
      </xdr:nvSpPr>
      <xdr:spPr bwMode="auto">
        <a:xfrm>
          <a:off x="5962650" y="2990850"/>
          <a:ext cx="4000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6</xdr:col>
      <xdr:colOff>9525</xdr:colOff>
      <xdr:row>9</xdr:row>
      <xdr:rowOff>85725</xdr:rowOff>
    </xdr:from>
    <xdr:to>
      <xdr:col>6</xdr:col>
      <xdr:colOff>361950</xdr:colOff>
      <xdr:row>9</xdr:row>
      <xdr:rowOff>85725</xdr:rowOff>
    </xdr:to>
    <xdr:sp macro="" textlink="">
      <xdr:nvSpPr>
        <xdr:cNvPr id="66179062" name="Line 27"/>
        <xdr:cNvSpPr>
          <a:spLocks noChangeShapeType="1"/>
        </xdr:cNvSpPr>
      </xdr:nvSpPr>
      <xdr:spPr bwMode="auto">
        <a:xfrm>
          <a:off x="3981450" y="1695450"/>
          <a:ext cx="3524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9525</xdr:colOff>
      <xdr:row>9</xdr:row>
      <xdr:rowOff>85725</xdr:rowOff>
    </xdr:from>
    <xdr:to>
      <xdr:col>12</xdr:col>
      <xdr:colOff>0</xdr:colOff>
      <xdr:row>9</xdr:row>
      <xdr:rowOff>85725</xdr:rowOff>
    </xdr:to>
    <xdr:sp macro="" textlink="">
      <xdr:nvSpPr>
        <xdr:cNvPr id="66179063" name="Line 28"/>
        <xdr:cNvSpPr>
          <a:spLocks noChangeShapeType="1"/>
        </xdr:cNvSpPr>
      </xdr:nvSpPr>
      <xdr:spPr bwMode="auto">
        <a:xfrm>
          <a:off x="4505325" y="1695450"/>
          <a:ext cx="20383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9525</xdr:colOff>
      <xdr:row>9</xdr:row>
      <xdr:rowOff>85725</xdr:rowOff>
    </xdr:from>
    <xdr:to>
      <xdr:col>13</xdr:col>
      <xdr:colOff>228600</xdr:colOff>
      <xdr:row>9</xdr:row>
      <xdr:rowOff>85725</xdr:rowOff>
    </xdr:to>
    <xdr:sp macro="" textlink="">
      <xdr:nvSpPr>
        <xdr:cNvPr id="66179064" name="Line 29"/>
        <xdr:cNvSpPr>
          <a:spLocks noChangeShapeType="1"/>
        </xdr:cNvSpPr>
      </xdr:nvSpPr>
      <xdr:spPr bwMode="auto">
        <a:xfrm>
          <a:off x="7267575" y="1695450"/>
          <a:ext cx="2190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6</xdr:col>
      <xdr:colOff>9525</xdr:colOff>
      <xdr:row>23</xdr:row>
      <xdr:rowOff>85725</xdr:rowOff>
    </xdr:from>
    <xdr:to>
      <xdr:col>6</xdr:col>
      <xdr:colOff>361950</xdr:colOff>
      <xdr:row>23</xdr:row>
      <xdr:rowOff>85725</xdr:rowOff>
    </xdr:to>
    <xdr:sp macro="" textlink="">
      <xdr:nvSpPr>
        <xdr:cNvPr id="66179065" name="Line 31"/>
        <xdr:cNvSpPr>
          <a:spLocks noChangeShapeType="1"/>
        </xdr:cNvSpPr>
      </xdr:nvSpPr>
      <xdr:spPr bwMode="auto">
        <a:xfrm>
          <a:off x="3981450" y="3962400"/>
          <a:ext cx="3524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9525</xdr:colOff>
      <xdr:row>23</xdr:row>
      <xdr:rowOff>85725</xdr:rowOff>
    </xdr:from>
    <xdr:to>
      <xdr:col>8</xdr:col>
      <xdr:colOff>428625</xdr:colOff>
      <xdr:row>23</xdr:row>
      <xdr:rowOff>85725</xdr:rowOff>
    </xdr:to>
    <xdr:sp macro="" textlink="">
      <xdr:nvSpPr>
        <xdr:cNvPr id="66179066" name="Line 32"/>
        <xdr:cNvSpPr>
          <a:spLocks noChangeShapeType="1"/>
        </xdr:cNvSpPr>
      </xdr:nvSpPr>
      <xdr:spPr bwMode="auto">
        <a:xfrm>
          <a:off x="4505325" y="3962400"/>
          <a:ext cx="4191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</xdr:col>
      <xdr:colOff>361950</xdr:colOff>
      <xdr:row>23</xdr:row>
      <xdr:rowOff>85725</xdr:rowOff>
    </xdr:from>
    <xdr:to>
      <xdr:col>3</xdr:col>
      <xdr:colOff>0</xdr:colOff>
      <xdr:row>23</xdr:row>
      <xdr:rowOff>85725</xdr:rowOff>
    </xdr:to>
    <xdr:sp macro="" textlink="">
      <xdr:nvSpPr>
        <xdr:cNvPr id="66179067" name="Line 33"/>
        <xdr:cNvSpPr>
          <a:spLocks noChangeShapeType="1"/>
        </xdr:cNvSpPr>
      </xdr:nvSpPr>
      <xdr:spPr bwMode="auto">
        <a:xfrm>
          <a:off x="1590675" y="3962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</xdr:col>
      <xdr:colOff>361950</xdr:colOff>
      <xdr:row>26</xdr:row>
      <xdr:rowOff>85725</xdr:rowOff>
    </xdr:from>
    <xdr:to>
      <xdr:col>3</xdr:col>
      <xdr:colOff>0</xdr:colOff>
      <xdr:row>26</xdr:row>
      <xdr:rowOff>85725</xdr:rowOff>
    </xdr:to>
    <xdr:sp macro="" textlink="">
      <xdr:nvSpPr>
        <xdr:cNvPr id="66179068" name="Line 35"/>
        <xdr:cNvSpPr>
          <a:spLocks noChangeShapeType="1"/>
        </xdr:cNvSpPr>
      </xdr:nvSpPr>
      <xdr:spPr bwMode="auto">
        <a:xfrm>
          <a:off x="1590675" y="44481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</xdr:col>
      <xdr:colOff>361950</xdr:colOff>
      <xdr:row>31</xdr:row>
      <xdr:rowOff>85725</xdr:rowOff>
    </xdr:from>
    <xdr:to>
      <xdr:col>3</xdr:col>
      <xdr:colOff>0</xdr:colOff>
      <xdr:row>31</xdr:row>
      <xdr:rowOff>85725</xdr:rowOff>
    </xdr:to>
    <xdr:sp macro="" textlink="">
      <xdr:nvSpPr>
        <xdr:cNvPr id="66179069" name="Line 37"/>
        <xdr:cNvSpPr>
          <a:spLocks noChangeShapeType="1"/>
        </xdr:cNvSpPr>
      </xdr:nvSpPr>
      <xdr:spPr bwMode="auto">
        <a:xfrm>
          <a:off x="1590675" y="5257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</xdr:col>
      <xdr:colOff>361950</xdr:colOff>
      <xdr:row>34</xdr:row>
      <xdr:rowOff>85725</xdr:rowOff>
    </xdr:from>
    <xdr:to>
      <xdr:col>3</xdr:col>
      <xdr:colOff>0</xdr:colOff>
      <xdr:row>34</xdr:row>
      <xdr:rowOff>85725</xdr:rowOff>
    </xdr:to>
    <xdr:sp macro="" textlink="">
      <xdr:nvSpPr>
        <xdr:cNvPr id="66179070" name="Line 39"/>
        <xdr:cNvSpPr>
          <a:spLocks noChangeShapeType="1"/>
        </xdr:cNvSpPr>
      </xdr:nvSpPr>
      <xdr:spPr bwMode="auto">
        <a:xfrm>
          <a:off x="1590675" y="5743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</xdr:col>
      <xdr:colOff>361950</xdr:colOff>
      <xdr:row>35</xdr:row>
      <xdr:rowOff>85725</xdr:rowOff>
    </xdr:from>
    <xdr:to>
      <xdr:col>3</xdr:col>
      <xdr:colOff>0</xdr:colOff>
      <xdr:row>35</xdr:row>
      <xdr:rowOff>85725</xdr:rowOff>
    </xdr:to>
    <xdr:sp macro="" textlink="">
      <xdr:nvSpPr>
        <xdr:cNvPr id="66179071" name="Line 40"/>
        <xdr:cNvSpPr>
          <a:spLocks noChangeShapeType="1"/>
        </xdr:cNvSpPr>
      </xdr:nvSpPr>
      <xdr:spPr bwMode="auto">
        <a:xfrm>
          <a:off x="1590675" y="5905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</xdr:col>
      <xdr:colOff>361950</xdr:colOff>
      <xdr:row>36</xdr:row>
      <xdr:rowOff>85725</xdr:rowOff>
    </xdr:from>
    <xdr:to>
      <xdr:col>3</xdr:col>
      <xdr:colOff>0</xdr:colOff>
      <xdr:row>36</xdr:row>
      <xdr:rowOff>85725</xdr:rowOff>
    </xdr:to>
    <xdr:sp macro="" textlink="">
      <xdr:nvSpPr>
        <xdr:cNvPr id="66953216" name="Line 41"/>
        <xdr:cNvSpPr>
          <a:spLocks noChangeShapeType="1"/>
        </xdr:cNvSpPr>
      </xdr:nvSpPr>
      <xdr:spPr bwMode="auto">
        <a:xfrm>
          <a:off x="1590675" y="6067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</xdr:col>
      <xdr:colOff>361950</xdr:colOff>
      <xdr:row>37</xdr:row>
      <xdr:rowOff>85725</xdr:rowOff>
    </xdr:from>
    <xdr:to>
      <xdr:col>3</xdr:col>
      <xdr:colOff>0</xdr:colOff>
      <xdr:row>37</xdr:row>
      <xdr:rowOff>85725</xdr:rowOff>
    </xdr:to>
    <xdr:sp macro="" textlink="">
      <xdr:nvSpPr>
        <xdr:cNvPr id="66953217" name="Line 42"/>
        <xdr:cNvSpPr>
          <a:spLocks noChangeShapeType="1"/>
        </xdr:cNvSpPr>
      </xdr:nvSpPr>
      <xdr:spPr bwMode="auto">
        <a:xfrm>
          <a:off x="1590675" y="6229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19050</xdr:colOff>
      <xdr:row>34</xdr:row>
      <xdr:rowOff>85725</xdr:rowOff>
    </xdr:from>
    <xdr:to>
      <xdr:col>4</xdr:col>
      <xdr:colOff>190500</xdr:colOff>
      <xdr:row>34</xdr:row>
      <xdr:rowOff>85725</xdr:rowOff>
    </xdr:to>
    <xdr:sp macro="" textlink="">
      <xdr:nvSpPr>
        <xdr:cNvPr id="66953218" name="Line 43"/>
        <xdr:cNvSpPr>
          <a:spLocks noChangeShapeType="1"/>
        </xdr:cNvSpPr>
      </xdr:nvSpPr>
      <xdr:spPr bwMode="auto">
        <a:xfrm>
          <a:off x="2476500" y="5743575"/>
          <a:ext cx="1714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</xdr:col>
      <xdr:colOff>19050</xdr:colOff>
      <xdr:row>37</xdr:row>
      <xdr:rowOff>76200</xdr:rowOff>
    </xdr:from>
    <xdr:to>
      <xdr:col>4</xdr:col>
      <xdr:colOff>190500</xdr:colOff>
      <xdr:row>37</xdr:row>
      <xdr:rowOff>85725</xdr:rowOff>
    </xdr:to>
    <xdr:sp macro="" textlink="">
      <xdr:nvSpPr>
        <xdr:cNvPr id="66953219" name="Line 44"/>
        <xdr:cNvSpPr>
          <a:spLocks noChangeShapeType="1"/>
        </xdr:cNvSpPr>
      </xdr:nvSpPr>
      <xdr:spPr bwMode="auto">
        <a:xfrm>
          <a:off x="1266825" y="6219825"/>
          <a:ext cx="1381125" cy="95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180975</xdr:colOff>
      <xdr:row>34</xdr:row>
      <xdr:rowOff>85725</xdr:rowOff>
    </xdr:from>
    <xdr:to>
      <xdr:col>4</xdr:col>
      <xdr:colOff>180975</xdr:colOff>
      <xdr:row>37</xdr:row>
      <xdr:rowOff>85725</xdr:rowOff>
    </xdr:to>
    <xdr:sp macro="" textlink="">
      <xdr:nvSpPr>
        <xdr:cNvPr id="66953220" name="Line 45"/>
        <xdr:cNvSpPr>
          <a:spLocks noChangeShapeType="1"/>
        </xdr:cNvSpPr>
      </xdr:nvSpPr>
      <xdr:spPr bwMode="auto">
        <a:xfrm>
          <a:off x="2638425" y="5743575"/>
          <a:ext cx="0" cy="4857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180975</xdr:colOff>
      <xdr:row>35</xdr:row>
      <xdr:rowOff>95250</xdr:rowOff>
    </xdr:from>
    <xdr:to>
      <xdr:col>4</xdr:col>
      <xdr:colOff>542925</xdr:colOff>
      <xdr:row>35</xdr:row>
      <xdr:rowOff>95250</xdr:rowOff>
    </xdr:to>
    <xdr:sp macro="" textlink="">
      <xdr:nvSpPr>
        <xdr:cNvPr id="66953221" name="Line 46"/>
        <xdr:cNvSpPr>
          <a:spLocks noChangeShapeType="1"/>
        </xdr:cNvSpPr>
      </xdr:nvSpPr>
      <xdr:spPr bwMode="auto">
        <a:xfrm>
          <a:off x="2638425" y="5915025"/>
          <a:ext cx="361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  <xdr:twoCellAnchor>
    <xdr:from>
      <xdr:col>6</xdr:col>
      <xdr:colOff>171450</xdr:colOff>
      <xdr:row>31</xdr:row>
      <xdr:rowOff>85725</xdr:rowOff>
    </xdr:from>
    <xdr:to>
      <xdr:col>7</xdr:col>
      <xdr:colOff>0</xdr:colOff>
      <xdr:row>31</xdr:row>
      <xdr:rowOff>85725</xdr:rowOff>
    </xdr:to>
    <xdr:sp macro="" textlink="">
      <xdr:nvSpPr>
        <xdr:cNvPr id="66953222" name="Line 51"/>
        <xdr:cNvSpPr>
          <a:spLocks noChangeShapeType="1"/>
        </xdr:cNvSpPr>
      </xdr:nvSpPr>
      <xdr:spPr bwMode="auto">
        <a:xfrm>
          <a:off x="4143375" y="5257800"/>
          <a:ext cx="1905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6</xdr:col>
      <xdr:colOff>171450</xdr:colOff>
      <xdr:row>35</xdr:row>
      <xdr:rowOff>85725</xdr:rowOff>
    </xdr:from>
    <xdr:to>
      <xdr:col>7</xdr:col>
      <xdr:colOff>0</xdr:colOff>
      <xdr:row>35</xdr:row>
      <xdr:rowOff>85725</xdr:rowOff>
    </xdr:to>
    <xdr:sp macro="" textlink="">
      <xdr:nvSpPr>
        <xdr:cNvPr id="66953223" name="Line 52"/>
        <xdr:cNvSpPr>
          <a:spLocks noChangeShapeType="1"/>
        </xdr:cNvSpPr>
      </xdr:nvSpPr>
      <xdr:spPr bwMode="auto">
        <a:xfrm>
          <a:off x="4143375" y="5905500"/>
          <a:ext cx="1905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6</xdr:col>
      <xdr:colOff>171450</xdr:colOff>
      <xdr:row>38</xdr:row>
      <xdr:rowOff>85725</xdr:rowOff>
    </xdr:from>
    <xdr:to>
      <xdr:col>7</xdr:col>
      <xdr:colOff>0</xdr:colOff>
      <xdr:row>38</xdr:row>
      <xdr:rowOff>85725</xdr:rowOff>
    </xdr:to>
    <xdr:sp macro="" textlink="">
      <xdr:nvSpPr>
        <xdr:cNvPr id="66953224" name="Line 53"/>
        <xdr:cNvSpPr>
          <a:spLocks noChangeShapeType="1"/>
        </xdr:cNvSpPr>
      </xdr:nvSpPr>
      <xdr:spPr bwMode="auto">
        <a:xfrm>
          <a:off x="4143375" y="6391275"/>
          <a:ext cx="1905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9525</xdr:colOff>
      <xdr:row>23</xdr:row>
      <xdr:rowOff>85725</xdr:rowOff>
    </xdr:from>
    <xdr:to>
      <xdr:col>13</xdr:col>
      <xdr:colOff>228600</xdr:colOff>
      <xdr:row>23</xdr:row>
      <xdr:rowOff>85725</xdr:rowOff>
    </xdr:to>
    <xdr:sp macro="" textlink="">
      <xdr:nvSpPr>
        <xdr:cNvPr id="66953225" name="Line 56"/>
        <xdr:cNvSpPr>
          <a:spLocks noChangeShapeType="1"/>
        </xdr:cNvSpPr>
      </xdr:nvSpPr>
      <xdr:spPr bwMode="auto">
        <a:xfrm>
          <a:off x="7267575" y="3962400"/>
          <a:ext cx="2190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9525</xdr:colOff>
      <xdr:row>9</xdr:row>
      <xdr:rowOff>85725</xdr:rowOff>
    </xdr:from>
    <xdr:to>
      <xdr:col>15</xdr:col>
      <xdr:colOff>171450</xdr:colOff>
      <xdr:row>9</xdr:row>
      <xdr:rowOff>85725</xdr:rowOff>
    </xdr:to>
    <xdr:sp macro="" textlink="">
      <xdr:nvSpPr>
        <xdr:cNvPr id="66953226" name="Line 57"/>
        <xdr:cNvSpPr>
          <a:spLocks noChangeShapeType="1"/>
        </xdr:cNvSpPr>
      </xdr:nvSpPr>
      <xdr:spPr bwMode="auto">
        <a:xfrm>
          <a:off x="7677150" y="1695450"/>
          <a:ext cx="1619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9525</xdr:colOff>
      <xdr:row>23</xdr:row>
      <xdr:rowOff>85725</xdr:rowOff>
    </xdr:from>
    <xdr:to>
      <xdr:col>15</xdr:col>
      <xdr:colOff>171450</xdr:colOff>
      <xdr:row>23</xdr:row>
      <xdr:rowOff>85725</xdr:rowOff>
    </xdr:to>
    <xdr:sp macro="" textlink="">
      <xdr:nvSpPr>
        <xdr:cNvPr id="66953227" name="Line 58"/>
        <xdr:cNvSpPr>
          <a:spLocks noChangeShapeType="1"/>
        </xdr:cNvSpPr>
      </xdr:nvSpPr>
      <xdr:spPr bwMode="auto">
        <a:xfrm>
          <a:off x="7677150" y="3962400"/>
          <a:ext cx="1619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171450</xdr:colOff>
      <xdr:row>9</xdr:row>
      <xdr:rowOff>85725</xdr:rowOff>
    </xdr:from>
    <xdr:to>
      <xdr:col>15</xdr:col>
      <xdr:colOff>171450</xdr:colOff>
      <xdr:row>23</xdr:row>
      <xdr:rowOff>85725</xdr:rowOff>
    </xdr:to>
    <xdr:sp macro="" textlink="">
      <xdr:nvSpPr>
        <xdr:cNvPr id="66953228" name="Line 59"/>
        <xdr:cNvSpPr>
          <a:spLocks noChangeShapeType="1"/>
        </xdr:cNvSpPr>
      </xdr:nvSpPr>
      <xdr:spPr bwMode="auto">
        <a:xfrm>
          <a:off x="7839075" y="1695450"/>
          <a:ext cx="0" cy="22669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400050</xdr:colOff>
      <xdr:row>12</xdr:row>
      <xdr:rowOff>47625</xdr:rowOff>
    </xdr:from>
    <xdr:to>
      <xdr:col>16</xdr:col>
      <xdr:colOff>400050</xdr:colOff>
      <xdr:row>13</xdr:row>
      <xdr:rowOff>152400</xdr:rowOff>
    </xdr:to>
    <xdr:sp macro="" textlink="">
      <xdr:nvSpPr>
        <xdr:cNvPr id="66953229" name="Line 61"/>
        <xdr:cNvSpPr>
          <a:spLocks noChangeShapeType="1"/>
        </xdr:cNvSpPr>
      </xdr:nvSpPr>
      <xdr:spPr bwMode="auto">
        <a:xfrm>
          <a:off x="8524875" y="2143125"/>
          <a:ext cx="0" cy="266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12</xdr:col>
      <xdr:colOff>9525</xdr:colOff>
      <xdr:row>26</xdr:row>
      <xdr:rowOff>76200</xdr:rowOff>
    </xdr:from>
    <xdr:to>
      <xdr:col>15</xdr:col>
      <xdr:colOff>161925</xdr:colOff>
      <xdr:row>26</xdr:row>
      <xdr:rowOff>76200</xdr:rowOff>
    </xdr:to>
    <xdr:sp macro="" textlink="">
      <xdr:nvSpPr>
        <xdr:cNvPr id="66953230" name="Line 63"/>
        <xdr:cNvSpPr>
          <a:spLocks noChangeShapeType="1"/>
        </xdr:cNvSpPr>
      </xdr:nvSpPr>
      <xdr:spPr bwMode="auto">
        <a:xfrm>
          <a:off x="6553200" y="4438650"/>
          <a:ext cx="12763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17</xdr:col>
      <xdr:colOff>0</xdr:colOff>
      <xdr:row>11</xdr:row>
      <xdr:rowOff>85725</xdr:rowOff>
    </xdr:from>
    <xdr:to>
      <xdr:col>17</xdr:col>
      <xdr:colOff>238125</xdr:colOff>
      <xdr:row>11</xdr:row>
      <xdr:rowOff>85725</xdr:rowOff>
    </xdr:to>
    <xdr:sp macro="" textlink="">
      <xdr:nvSpPr>
        <xdr:cNvPr id="66953231" name="Line 67"/>
        <xdr:cNvSpPr>
          <a:spLocks noChangeShapeType="1"/>
        </xdr:cNvSpPr>
      </xdr:nvSpPr>
      <xdr:spPr bwMode="auto">
        <a:xfrm>
          <a:off x="8848725" y="2019300"/>
          <a:ext cx="2381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19</xdr:col>
      <xdr:colOff>0</xdr:colOff>
      <xdr:row>11</xdr:row>
      <xdr:rowOff>85725</xdr:rowOff>
    </xdr:from>
    <xdr:to>
      <xdr:col>19</xdr:col>
      <xdr:colOff>247650</xdr:colOff>
      <xdr:row>11</xdr:row>
      <xdr:rowOff>85725</xdr:rowOff>
    </xdr:to>
    <xdr:sp macro="" textlink="">
      <xdr:nvSpPr>
        <xdr:cNvPr id="66953232" name="Line 68"/>
        <xdr:cNvSpPr>
          <a:spLocks noChangeShapeType="1"/>
        </xdr:cNvSpPr>
      </xdr:nvSpPr>
      <xdr:spPr bwMode="auto">
        <a:xfrm>
          <a:off x="9305925" y="2019300"/>
          <a:ext cx="2476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17</xdr:col>
      <xdr:colOff>0</xdr:colOff>
      <xdr:row>17</xdr:row>
      <xdr:rowOff>85725</xdr:rowOff>
    </xdr:from>
    <xdr:to>
      <xdr:col>17</xdr:col>
      <xdr:colOff>238125</xdr:colOff>
      <xdr:row>17</xdr:row>
      <xdr:rowOff>85725</xdr:rowOff>
    </xdr:to>
    <xdr:sp macro="" textlink="">
      <xdr:nvSpPr>
        <xdr:cNvPr id="66953233" name="Line 69"/>
        <xdr:cNvSpPr>
          <a:spLocks noChangeShapeType="1"/>
        </xdr:cNvSpPr>
      </xdr:nvSpPr>
      <xdr:spPr bwMode="auto">
        <a:xfrm>
          <a:off x="8848725" y="2990850"/>
          <a:ext cx="2381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19</xdr:col>
      <xdr:colOff>0</xdr:colOff>
      <xdr:row>17</xdr:row>
      <xdr:rowOff>85725</xdr:rowOff>
    </xdr:from>
    <xdr:to>
      <xdr:col>19</xdr:col>
      <xdr:colOff>247650</xdr:colOff>
      <xdr:row>17</xdr:row>
      <xdr:rowOff>85725</xdr:rowOff>
    </xdr:to>
    <xdr:sp macro="" textlink="">
      <xdr:nvSpPr>
        <xdr:cNvPr id="66953234" name="Line 70"/>
        <xdr:cNvSpPr>
          <a:spLocks noChangeShapeType="1"/>
        </xdr:cNvSpPr>
      </xdr:nvSpPr>
      <xdr:spPr bwMode="auto">
        <a:xfrm>
          <a:off x="9305925" y="2990850"/>
          <a:ext cx="2476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17</xdr:col>
      <xdr:colOff>0</xdr:colOff>
      <xdr:row>34</xdr:row>
      <xdr:rowOff>85725</xdr:rowOff>
    </xdr:from>
    <xdr:to>
      <xdr:col>17</xdr:col>
      <xdr:colOff>238125</xdr:colOff>
      <xdr:row>34</xdr:row>
      <xdr:rowOff>85725</xdr:rowOff>
    </xdr:to>
    <xdr:sp macro="" textlink="">
      <xdr:nvSpPr>
        <xdr:cNvPr id="66953235" name="Line 71"/>
        <xdr:cNvSpPr>
          <a:spLocks noChangeShapeType="1"/>
        </xdr:cNvSpPr>
      </xdr:nvSpPr>
      <xdr:spPr bwMode="auto">
        <a:xfrm>
          <a:off x="8848725" y="5743575"/>
          <a:ext cx="2381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19</xdr:col>
      <xdr:colOff>0</xdr:colOff>
      <xdr:row>34</xdr:row>
      <xdr:rowOff>85725</xdr:rowOff>
    </xdr:from>
    <xdr:to>
      <xdr:col>19</xdr:col>
      <xdr:colOff>247650</xdr:colOff>
      <xdr:row>34</xdr:row>
      <xdr:rowOff>85725</xdr:rowOff>
    </xdr:to>
    <xdr:sp macro="" textlink="">
      <xdr:nvSpPr>
        <xdr:cNvPr id="66953236" name="Line 72"/>
        <xdr:cNvSpPr>
          <a:spLocks noChangeShapeType="1"/>
        </xdr:cNvSpPr>
      </xdr:nvSpPr>
      <xdr:spPr bwMode="auto">
        <a:xfrm>
          <a:off x="9305925" y="5743575"/>
          <a:ext cx="2476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19</xdr:col>
      <xdr:colOff>0</xdr:colOff>
      <xdr:row>23</xdr:row>
      <xdr:rowOff>85725</xdr:rowOff>
    </xdr:from>
    <xdr:to>
      <xdr:col>19</xdr:col>
      <xdr:colOff>247650</xdr:colOff>
      <xdr:row>23</xdr:row>
      <xdr:rowOff>85725</xdr:rowOff>
    </xdr:to>
    <xdr:sp macro="" textlink="">
      <xdr:nvSpPr>
        <xdr:cNvPr id="66953237" name="Line 73"/>
        <xdr:cNvSpPr>
          <a:spLocks noChangeShapeType="1"/>
        </xdr:cNvSpPr>
      </xdr:nvSpPr>
      <xdr:spPr bwMode="auto">
        <a:xfrm>
          <a:off x="9305925" y="3962400"/>
          <a:ext cx="2476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285750</xdr:colOff>
      <xdr:row>23</xdr:row>
      <xdr:rowOff>76200</xdr:rowOff>
    </xdr:from>
    <xdr:to>
      <xdr:col>18</xdr:col>
      <xdr:colOff>0</xdr:colOff>
      <xdr:row>23</xdr:row>
      <xdr:rowOff>76200</xdr:rowOff>
    </xdr:to>
    <xdr:sp macro="" textlink="">
      <xdr:nvSpPr>
        <xdr:cNvPr id="66953238" name="Line 74"/>
        <xdr:cNvSpPr>
          <a:spLocks noChangeShapeType="1"/>
        </xdr:cNvSpPr>
      </xdr:nvSpPr>
      <xdr:spPr bwMode="auto">
        <a:xfrm>
          <a:off x="7953375" y="3952875"/>
          <a:ext cx="11334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20</xdr:col>
      <xdr:colOff>0</xdr:colOff>
      <xdr:row>17</xdr:row>
      <xdr:rowOff>85725</xdr:rowOff>
    </xdr:from>
    <xdr:to>
      <xdr:col>20</xdr:col>
      <xdr:colOff>190500</xdr:colOff>
      <xdr:row>17</xdr:row>
      <xdr:rowOff>85725</xdr:rowOff>
    </xdr:to>
    <xdr:sp macro="" textlink="">
      <xdr:nvSpPr>
        <xdr:cNvPr id="66953239" name="Line 76"/>
        <xdr:cNvSpPr>
          <a:spLocks noChangeShapeType="1"/>
        </xdr:cNvSpPr>
      </xdr:nvSpPr>
      <xdr:spPr bwMode="auto">
        <a:xfrm>
          <a:off x="9553575" y="2990850"/>
          <a:ext cx="1905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  <xdr:twoCellAnchor>
    <xdr:from>
      <xdr:col>10</xdr:col>
      <xdr:colOff>295275</xdr:colOff>
      <xdr:row>26</xdr:row>
      <xdr:rowOff>85725</xdr:rowOff>
    </xdr:from>
    <xdr:to>
      <xdr:col>11</xdr:col>
      <xdr:colOff>0</xdr:colOff>
      <xdr:row>26</xdr:row>
      <xdr:rowOff>85725</xdr:rowOff>
    </xdr:to>
    <xdr:sp macro="" textlink="">
      <xdr:nvSpPr>
        <xdr:cNvPr id="66953240" name="Line 77"/>
        <xdr:cNvSpPr>
          <a:spLocks noChangeShapeType="1"/>
        </xdr:cNvSpPr>
      </xdr:nvSpPr>
      <xdr:spPr bwMode="auto">
        <a:xfrm>
          <a:off x="6248400" y="4448175"/>
          <a:ext cx="1143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152400</xdr:colOff>
      <xdr:row>26</xdr:row>
      <xdr:rowOff>76200</xdr:rowOff>
    </xdr:from>
    <xdr:to>
      <xdr:col>15</xdr:col>
      <xdr:colOff>152400</xdr:colOff>
      <xdr:row>38</xdr:row>
      <xdr:rowOff>95250</xdr:rowOff>
    </xdr:to>
    <xdr:sp macro="" textlink="">
      <xdr:nvSpPr>
        <xdr:cNvPr id="66953241" name="Line 80"/>
        <xdr:cNvSpPr>
          <a:spLocks noChangeShapeType="1"/>
        </xdr:cNvSpPr>
      </xdr:nvSpPr>
      <xdr:spPr bwMode="auto">
        <a:xfrm>
          <a:off x="7820025" y="4438650"/>
          <a:ext cx="0" cy="19621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400050</xdr:colOff>
      <xdr:row>15</xdr:row>
      <xdr:rowOff>9525</xdr:rowOff>
    </xdr:from>
    <xdr:to>
      <xdr:col>16</xdr:col>
      <xdr:colOff>400050</xdr:colOff>
      <xdr:row>17</xdr:row>
      <xdr:rowOff>9525</xdr:rowOff>
    </xdr:to>
    <xdr:sp macro="" textlink="">
      <xdr:nvSpPr>
        <xdr:cNvPr id="66953242" name="Line 87"/>
        <xdr:cNvSpPr>
          <a:spLocks noChangeShapeType="1"/>
        </xdr:cNvSpPr>
      </xdr:nvSpPr>
      <xdr:spPr bwMode="auto">
        <a:xfrm>
          <a:off x="8524875" y="2590800"/>
          <a:ext cx="0" cy="3238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152400</xdr:colOff>
      <xdr:row>34</xdr:row>
      <xdr:rowOff>85725</xdr:rowOff>
    </xdr:from>
    <xdr:to>
      <xdr:col>15</xdr:col>
      <xdr:colOff>447675</xdr:colOff>
      <xdr:row>34</xdr:row>
      <xdr:rowOff>85725</xdr:rowOff>
    </xdr:to>
    <xdr:sp macro="" textlink="">
      <xdr:nvSpPr>
        <xdr:cNvPr id="66953243" name="Line 88"/>
        <xdr:cNvSpPr>
          <a:spLocks noChangeShapeType="1"/>
        </xdr:cNvSpPr>
      </xdr:nvSpPr>
      <xdr:spPr bwMode="auto">
        <a:xfrm>
          <a:off x="7820025" y="5743575"/>
          <a:ext cx="2952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20</xdr:col>
      <xdr:colOff>0</xdr:colOff>
      <xdr:row>11</xdr:row>
      <xdr:rowOff>85725</xdr:rowOff>
    </xdr:from>
    <xdr:to>
      <xdr:col>20</xdr:col>
      <xdr:colOff>0</xdr:colOff>
      <xdr:row>34</xdr:row>
      <xdr:rowOff>85725</xdr:rowOff>
    </xdr:to>
    <xdr:sp macro="" textlink="">
      <xdr:nvSpPr>
        <xdr:cNvPr id="66953244" name="Line 89"/>
        <xdr:cNvSpPr>
          <a:spLocks noChangeShapeType="1"/>
        </xdr:cNvSpPr>
      </xdr:nvSpPr>
      <xdr:spPr bwMode="auto">
        <a:xfrm>
          <a:off x="9553575" y="2019300"/>
          <a:ext cx="0" cy="37242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152400</xdr:colOff>
      <xdr:row>36</xdr:row>
      <xdr:rowOff>66675</xdr:rowOff>
    </xdr:from>
    <xdr:to>
      <xdr:col>15</xdr:col>
      <xdr:colOff>161925</xdr:colOff>
      <xdr:row>36</xdr:row>
      <xdr:rowOff>66675</xdr:rowOff>
    </xdr:to>
    <xdr:sp macro="" textlink="">
      <xdr:nvSpPr>
        <xdr:cNvPr id="66953245" name="Line 90"/>
        <xdr:cNvSpPr>
          <a:spLocks noChangeShapeType="1"/>
        </xdr:cNvSpPr>
      </xdr:nvSpPr>
      <xdr:spPr bwMode="auto">
        <a:xfrm>
          <a:off x="7820025" y="6048375"/>
          <a:ext cx="95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9525</xdr:colOff>
      <xdr:row>35</xdr:row>
      <xdr:rowOff>85725</xdr:rowOff>
    </xdr:from>
    <xdr:to>
      <xdr:col>15</xdr:col>
      <xdr:colOff>152400</xdr:colOff>
      <xdr:row>35</xdr:row>
      <xdr:rowOff>85725</xdr:rowOff>
    </xdr:to>
    <xdr:sp macro="" textlink="">
      <xdr:nvSpPr>
        <xdr:cNvPr id="66953246" name="Line 91"/>
        <xdr:cNvSpPr>
          <a:spLocks noChangeShapeType="1"/>
        </xdr:cNvSpPr>
      </xdr:nvSpPr>
      <xdr:spPr bwMode="auto">
        <a:xfrm>
          <a:off x="4505325" y="5905500"/>
          <a:ext cx="33147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12</xdr:col>
      <xdr:colOff>0</xdr:colOff>
      <xdr:row>29</xdr:row>
      <xdr:rowOff>76200</xdr:rowOff>
    </xdr:from>
    <xdr:to>
      <xdr:col>15</xdr:col>
      <xdr:colOff>152400</xdr:colOff>
      <xdr:row>29</xdr:row>
      <xdr:rowOff>76200</xdr:rowOff>
    </xdr:to>
    <xdr:sp macro="" textlink="">
      <xdr:nvSpPr>
        <xdr:cNvPr id="66953247" name="Line 92"/>
        <xdr:cNvSpPr>
          <a:spLocks noChangeShapeType="1"/>
        </xdr:cNvSpPr>
      </xdr:nvSpPr>
      <xdr:spPr bwMode="auto">
        <a:xfrm>
          <a:off x="6543675" y="4924425"/>
          <a:ext cx="12763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9525</xdr:colOff>
      <xdr:row>38</xdr:row>
      <xdr:rowOff>85725</xdr:rowOff>
    </xdr:from>
    <xdr:to>
      <xdr:col>15</xdr:col>
      <xdr:colOff>152400</xdr:colOff>
      <xdr:row>38</xdr:row>
      <xdr:rowOff>85725</xdr:rowOff>
    </xdr:to>
    <xdr:sp macro="" textlink="">
      <xdr:nvSpPr>
        <xdr:cNvPr id="66953248" name="Line 93"/>
        <xdr:cNvSpPr>
          <a:spLocks noChangeShapeType="1"/>
        </xdr:cNvSpPr>
      </xdr:nvSpPr>
      <xdr:spPr bwMode="auto">
        <a:xfrm>
          <a:off x="4505325" y="6391275"/>
          <a:ext cx="33147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9525</xdr:colOff>
      <xdr:row>31</xdr:row>
      <xdr:rowOff>85725</xdr:rowOff>
    </xdr:from>
    <xdr:to>
      <xdr:col>15</xdr:col>
      <xdr:colOff>152400</xdr:colOff>
      <xdr:row>31</xdr:row>
      <xdr:rowOff>85725</xdr:rowOff>
    </xdr:to>
    <xdr:sp macro="" textlink="">
      <xdr:nvSpPr>
        <xdr:cNvPr id="66953249" name="Line 94"/>
        <xdr:cNvSpPr>
          <a:spLocks noChangeShapeType="1"/>
        </xdr:cNvSpPr>
      </xdr:nvSpPr>
      <xdr:spPr bwMode="auto">
        <a:xfrm>
          <a:off x="4505325" y="5257800"/>
          <a:ext cx="33147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20</xdr:row>
      <xdr:rowOff>95250</xdr:rowOff>
    </xdr:from>
    <xdr:to>
      <xdr:col>15</xdr:col>
      <xdr:colOff>171450</xdr:colOff>
      <xdr:row>20</xdr:row>
      <xdr:rowOff>95250</xdr:rowOff>
    </xdr:to>
    <xdr:sp macro="" textlink="">
      <xdr:nvSpPr>
        <xdr:cNvPr id="66953250" name="Line 95"/>
        <xdr:cNvSpPr>
          <a:spLocks noChangeShapeType="1"/>
        </xdr:cNvSpPr>
      </xdr:nvSpPr>
      <xdr:spPr bwMode="auto">
        <a:xfrm>
          <a:off x="4495800" y="3486150"/>
          <a:ext cx="33432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12</xdr:col>
      <xdr:colOff>9525</xdr:colOff>
      <xdr:row>17</xdr:row>
      <xdr:rowOff>76200</xdr:rowOff>
    </xdr:from>
    <xdr:to>
      <xdr:col>16</xdr:col>
      <xdr:colOff>0</xdr:colOff>
      <xdr:row>17</xdr:row>
      <xdr:rowOff>76200</xdr:rowOff>
    </xdr:to>
    <xdr:sp macro="" textlink="">
      <xdr:nvSpPr>
        <xdr:cNvPr id="66953251" name="Line 96"/>
        <xdr:cNvSpPr>
          <a:spLocks noChangeShapeType="1"/>
        </xdr:cNvSpPr>
      </xdr:nvSpPr>
      <xdr:spPr bwMode="auto">
        <a:xfrm>
          <a:off x="6553200" y="2981325"/>
          <a:ext cx="15716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</xdr:row>
      <xdr:rowOff>76200</xdr:rowOff>
    </xdr:from>
    <xdr:to>
      <xdr:col>15</xdr:col>
      <xdr:colOff>171450</xdr:colOff>
      <xdr:row>16</xdr:row>
      <xdr:rowOff>76200</xdr:rowOff>
    </xdr:to>
    <xdr:sp macro="" textlink="">
      <xdr:nvSpPr>
        <xdr:cNvPr id="66953252" name="Line 97"/>
        <xdr:cNvSpPr>
          <a:spLocks noChangeShapeType="1"/>
        </xdr:cNvSpPr>
      </xdr:nvSpPr>
      <xdr:spPr bwMode="auto">
        <a:xfrm>
          <a:off x="4495800" y="2819400"/>
          <a:ext cx="33432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152400</xdr:colOff>
      <xdr:row>14</xdr:row>
      <xdr:rowOff>76200</xdr:rowOff>
    </xdr:from>
    <xdr:to>
      <xdr:col>15</xdr:col>
      <xdr:colOff>171450</xdr:colOff>
      <xdr:row>14</xdr:row>
      <xdr:rowOff>76200</xdr:rowOff>
    </xdr:to>
    <xdr:sp macro="" textlink="">
      <xdr:nvSpPr>
        <xdr:cNvPr id="66953253" name="Line 98"/>
        <xdr:cNvSpPr>
          <a:spLocks noChangeShapeType="1"/>
        </xdr:cNvSpPr>
      </xdr:nvSpPr>
      <xdr:spPr bwMode="auto">
        <a:xfrm>
          <a:off x="4486275" y="2495550"/>
          <a:ext cx="33528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247650</xdr:colOff>
      <xdr:row>14</xdr:row>
      <xdr:rowOff>85725</xdr:rowOff>
    </xdr:from>
    <xdr:to>
      <xdr:col>5</xdr:col>
      <xdr:colOff>0</xdr:colOff>
      <xdr:row>14</xdr:row>
      <xdr:rowOff>85725</xdr:rowOff>
    </xdr:to>
    <xdr:sp macro="" textlink="">
      <xdr:nvSpPr>
        <xdr:cNvPr id="66953254" name="Line 99"/>
        <xdr:cNvSpPr>
          <a:spLocks noChangeShapeType="1"/>
        </xdr:cNvSpPr>
      </xdr:nvSpPr>
      <xdr:spPr bwMode="auto">
        <a:xfrm>
          <a:off x="1238250" y="2505075"/>
          <a:ext cx="1800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  <xdr:twoCellAnchor>
    <xdr:from>
      <xdr:col>2</xdr:col>
      <xdr:colOff>9525</xdr:colOff>
      <xdr:row>31</xdr:row>
      <xdr:rowOff>85725</xdr:rowOff>
    </xdr:from>
    <xdr:to>
      <xdr:col>5</xdr:col>
      <xdr:colOff>0</xdr:colOff>
      <xdr:row>31</xdr:row>
      <xdr:rowOff>85725</xdr:rowOff>
    </xdr:to>
    <xdr:sp macro="" textlink="">
      <xdr:nvSpPr>
        <xdr:cNvPr id="66953255" name="Line 100"/>
        <xdr:cNvSpPr>
          <a:spLocks noChangeShapeType="1"/>
        </xdr:cNvSpPr>
      </xdr:nvSpPr>
      <xdr:spPr bwMode="auto">
        <a:xfrm>
          <a:off x="1257300" y="5257800"/>
          <a:ext cx="17811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  <xdr:twoCellAnchor>
    <xdr:from>
      <xdr:col>1</xdr:col>
      <xdr:colOff>238125</xdr:colOff>
      <xdr:row>26</xdr:row>
      <xdr:rowOff>76200</xdr:rowOff>
    </xdr:from>
    <xdr:to>
      <xdr:col>8</xdr:col>
      <xdr:colOff>495300</xdr:colOff>
      <xdr:row>26</xdr:row>
      <xdr:rowOff>85725</xdr:rowOff>
    </xdr:to>
    <xdr:sp macro="" textlink="">
      <xdr:nvSpPr>
        <xdr:cNvPr id="66953256" name="Line 101"/>
        <xdr:cNvSpPr>
          <a:spLocks noChangeShapeType="1"/>
        </xdr:cNvSpPr>
      </xdr:nvSpPr>
      <xdr:spPr bwMode="auto">
        <a:xfrm>
          <a:off x="1228725" y="4438650"/>
          <a:ext cx="3762375" cy="95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  <xdr:twoCellAnchor>
    <xdr:from>
      <xdr:col>4</xdr:col>
      <xdr:colOff>219075</xdr:colOff>
      <xdr:row>9</xdr:row>
      <xdr:rowOff>76200</xdr:rowOff>
    </xdr:from>
    <xdr:to>
      <xdr:col>5</xdr:col>
      <xdr:colOff>0</xdr:colOff>
      <xdr:row>9</xdr:row>
      <xdr:rowOff>76200</xdr:rowOff>
    </xdr:to>
    <xdr:sp macro="" textlink="">
      <xdr:nvSpPr>
        <xdr:cNvPr id="66953257" name="Line 102"/>
        <xdr:cNvSpPr>
          <a:spLocks noChangeShapeType="1"/>
        </xdr:cNvSpPr>
      </xdr:nvSpPr>
      <xdr:spPr bwMode="auto">
        <a:xfrm>
          <a:off x="2676525" y="1685925"/>
          <a:ext cx="361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  <xdr:twoCellAnchor>
    <xdr:from>
      <xdr:col>4</xdr:col>
      <xdr:colOff>0</xdr:colOff>
      <xdr:row>23</xdr:row>
      <xdr:rowOff>114300</xdr:rowOff>
    </xdr:from>
    <xdr:to>
      <xdr:col>5</xdr:col>
      <xdr:colOff>0</xdr:colOff>
      <xdr:row>23</xdr:row>
      <xdr:rowOff>133350</xdr:rowOff>
    </xdr:to>
    <xdr:sp macro="" textlink="">
      <xdr:nvSpPr>
        <xdr:cNvPr id="66953258" name="Line 103"/>
        <xdr:cNvSpPr>
          <a:spLocks noChangeShapeType="1"/>
        </xdr:cNvSpPr>
      </xdr:nvSpPr>
      <xdr:spPr bwMode="auto">
        <a:xfrm flipV="1">
          <a:off x="2457450" y="3990975"/>
          <a:ext cx="581025" cy="190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  <xdr:twoCellAnchor>
    <xdr:from>
      <xdr:col>10</xdr:col>
      <xdr:colOff>9525</xdr:colOff>
      <xdr:row>23</xdr:row>
      <xdr:rowOff>76200</xdr:rowOff>
    </xdr:from>
    <xdr:to>
      <xdr:col>11</xdr:col>
      <xdr:colOff>0</xdr:colOff>
      <xdr:row>23</xdr:row>
      <xdr:rowOff>76200</xdr:rowOff>
    </xdr:to>
    <xdr:sp macro="" textlink="">
      <xdr:nvSpPr>
        <xdr:cNvPr id="66953259" name="Line 104"/>
        <xdr:cNvSpPr>
          <a:spLocks noChangeShapeType="1"/>
        </xdr:cNvSpPr>
      </xdr:nvSpPr>
      <xdr:spPr bwMode="auto">
        <a:xfrm>
          <a:off x="5962650" y="3952875"/>
          <a:ext cx="4000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  <xdr:twoCellAnchor>
    <xdr:from>
      <xdr:col>2</xdr:col>
      <xdr:colOff>28575</xdr:colOff>
      <xdr:row>9</xdr:row>
      <xdr:rowOff>133350</xdr:rowOff>
    </xdr:from>
    <xdr:to>
      <xdr:col>4</xdr:col>
      <xdr:colOff>200025</xdr:colOff>
      <xdr:row>9</xdr:row>
      <xdr:rowOff>133350</xdr:rowOff>
    </xdr:to>
    <xdr:sp macro="" textlink="">
      <xdr:nvSpPr>
        <xdr:cNvPr id="66953260" name="Line 105"/>
        <xdr:cNvSpPr>
          <a:spLocks noChangeShapeType="1"/>
        </xdr:cNvSpPr>
      </xdr:nvSpPr>
      <xdr:spPr bwMode="auto">
        <a:xfrm>
          <a:off x="1276350" y="1743075"/>
          <a:ext cx="13811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</xdr:col>
      <xdr:colOff>28575</xdr:colOff>
      <xdr:row>10</xdr:row>
      <xdr:rowOff>95250</xdr:rowOff>
    </xdr:from>
    <xdr:to>
      <xdr:col>4</xdr:col>
      <xdr:colOff>209550</xdr:colOff>
      <xdr:row>10</xdr:row>
      <xdr:rowOff>95250</xdr:rowOff>
    </xdr:to>
    <xdr:sp macro="" textlink="">
      <xdr:nvSpPr>
        <xdr:cNvPr id="66953261" name="Line 106"/>
        <xdr:cNvSpPr>
          <a:spLocks noChangeShapeType="1"/>
        </xdr:cNvSpPr>
      </xdr:nvSpPr>
      <xdr:spPr bwMode="auto">
        <a:xfrm>
          <a:off x="1276350" y="1866900"/>
          <a:ext cx="13906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</xdr:col>
      <xdr:colOff>28575</xdr:colOff>
      <xdr:row>11</xdr:row>
      <xdr:rowOff>95250</xdr:rowOff>
    </xdr:from>
    <xdr:to>
      <xdr:col>4</xdr:col>
      <xdr:colOff>219075</xdr:colOff>
      <xdr:row>11</xdr:row>
      <xdr:rowOff>95250</xdr:rowOff>
    </xdr:to>
    <xdr:sp macro="" textlink="">
      <xdr:nvSpPr>
        <xdr:cNvPr id="66953262" name="Line 107"/>
        <xdr:cNvSpPr>
          <a:spLocks noChangeShapeType="1"/>
        </xdr:cNvSpPr>
      </xdr:nvSpPr>
      <xdr:spPr bwMode="auto">
        <a:xfrm>
          <a:off x="1276350" y="2028825"/>
          <a:ext cx="14001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</xdr:col>
      <xdr:colOff>28575</xdr:colOff>
      <xdr:row>35</xdr:row>
      <xdr:rowOff>95250</xdr:rowOff>
    </xdr:from>
    <xdr:to>
      <xdr:col>4</xdr:col>
      <xdr:colOff>171450</xdr:colOff>
      <xdr:row>35</xdr:row>
      <xdr:rowOff>95250</xdr:rowOff>
    </xdr:to>
    <xdr:sp macro="" textlink="">
      <xdr:nvSpPr>
        <xdr:cNvPr id="66953263" name="Line 113"/>
        <xdr:cNvSpPr>
          <a:spLocks noChangeShapeType="1"/>
        </xdr:cNvSpPr>
      </xdr:nvSpPr>
      <xdr:spPr bwMode="auto">
        <a:xfrm>
          <a:off x="1276350" y="5915025"/>
          <a:ext cx="1352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</xdr:col>
      <xdr:colOff>28575</xdr:colOff>
      <xdr:row>36</xdr:row>
      <xdr:rowOff>95250</xdr:rowOff>
    </xdr:from>
    <xdr:to>
      <xdr:col>4</xdr:col>
      <xdr:colOff>190500</xdr:colOff>
      <xdr:row>36</xdr:row>
      <xdr:rowOff>95250</xdr:rowOff>
    </xdr:to>
    <xdr:sp macro="" textlink="">
      <xdr:nvSpPr>
        <xdr:cNvPr id="66953264" name="Line 114"/>
        <xdr:cNvSpPr>
          <a:spLocks noChangeShapeType="1"/>
        </xdr:cNvSpPr>
      </xdr:nvSpPr>
      <xdr:spPr bwMode="auto">
        <a:xfrm>
          <a:off x="1276350" y="6076950"/>
          <a:ext cx="13716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6</xdr:col>
      <xdr:colOff>9525</xdr:colOff>
      <xdr:row>31</xdr:row>
      <xdr:rowOff>85725</xdr:rowOff>
    </xdr:from>
    <xdr:to>
      <xdr:col>6</xdr:col>
      <xdr:colOff>361950</xdr:colOff>
      <xdr:row>31</xdr:row>
      <xdr:rowOff>85725</xdr:rowOff>
    </xdr:to>
    <xdr:sp macro="" textlink="">
      <xdr:nvSpPr>
        <xdr:cNvPr id="66953265" name="Line 116"/>
        <xdr:cNvSpPr>
          <a:spLocks noChangeShapeType="1"/>
        </xdr:cNvSpPr>
      </xdr:nvSpPr>
      <xdr:spPr bwMode="auto">
        <a:xfrm>
          <a:off x="3981450" y="5257800"/>
          <a:ext cx="3524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6</xdr:col>
      <xdr:colOff>9525</xdr:colOff>
      <xdr:row>35</xdr:row>
      <xdr:rowOff>85725</xdr:rowOff>
    </xdr:from>
    <xdr:to>
      <xdr:col>6</xdr:col>
      <xdr:colOff>361950</xdr:colOff>
      <xdr:row>35</xdr:row>
      <xdr:rowOff>85725</xdr:rowOff>
    </xdr:to>
    <xdr:sp macro="" textlink="">
      <xdr:nvSpPr>
        <xdr:cNvPr id="66953266" name="Line 117"/>
        <xdr:cNvSpPr>
          <a:spLocks noChangeShapeType="1"/>
        </xdr:cNvSpPr>
      </xdr:nvSpPr>
      <xdr:spPr bwMode="auto">
        <a:xfrm>
          <a:off x="3981450" y="5905500"/>
          <a:ext cx="3524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6</xdr:col>
      <xdr:colOff>9525</xdr:colOff>
      <xdr:row>38</xdr:row>
      <xdr:rowOff>85725</xdr:rowOff>
    </xdr:from>
    <xdr:to>
      <xdr:col>6</xdr:col>
      <xdr:colOff>361950</xdr:colOff>
      <xdr:row>38</xdr:row>
      <xdr:rowOff>85725</xdr:rowOff>
    </xdr:to>
    <xdr:sp macro="" textlink="">
      <xdr:nvSpPr>
        <xdr:cNvPr id="66953267" name="Line 118"/>
        <xdr:cNvSpPr>
          <a:spLocks noChangeShapeType="1"/>
        </xdr:cNvSpPr>
      </xdr:nvSpPr>
      <xdr:spPr bwMode="auto">
        <a:xfrm>
          <a:off x="3981450" y="6391275"/>
          <a:ext cx="3524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9525</xdr:colOff>
      <xdr:row>26</xdr:row>
      <xdr:rowOff>85725</xdr:rowOff>
    </xdr:from>
    <xdr:to>
      <xdr:col>10</xdr:col>
      <xdr:colOff>409575</xdr:colOff>
      <xdr:row>26</xdr:row>
      <xdr:rowOff>85725</xdr:rowOff>
    </xdr:to>
    <xdr:sp macro="" textlink="">
      <xdr:nvSpPr>
        <xdr:cNvPr id="66953268" name="Line 119"/>
        <xdr:cNvSpPr>
          <a:spLocks noChangeShapeType="1"/>
        </xdr:cNvSpPr>
      </xdr:nvSpPr>
      <xdr:spPr bwMode="auto">
        <a:xfrm>
          <a:off x="5962650" y="4448175"/>
          <a:ext cx="4000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9525</xdr:colOff>
      <xdr:row>29</xdr:row>
      <xdr:rowOff>85725</xdr:rowOff>
    </xdr:from>
    <xdr:to>
      <xdr:col>10</xdr:col>
      <xdr:colOff>409575</xdr:colOff>
      <xdr:row>29</xdr:row>
      <xdr:rowOff>85725</xdr:rowOff>
    </xdr:to>
    <xdr:sp macro="" textlink="">
      <xdr:nvSpPr>
        <xdr:cNvPr id="66953269" name="Line 120"/>
        <xdr:cNvSpPr>
          <a:spLocks noChangeShapeType="1"/>
        </xdr:cNvSpPr>
      </xdr:nvSpPr>
      <xdr:spPr bwMode="auto">
        <a:xfrm>
          <a:off x="5962650" y="4933950"/>
          <a:ext cx="4000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6</xdr:col>
      <xdr:colOff>9525</xdr:colOff>
      <xdr:row>16</xdr:row>
      <xdr:rowOff>85725</xdr:rowOff>
    </xdr:from>
    <xdr:to>
      <xdr:col>6</xdr:col>
      <xdr:colOff>361950</xdr:colOff>
      <xdr:row>16</xdr:row>
      <xdr:rowOff>85725</xdr:rowOff>
    </xdr:to>
    <xdr:sp macro="" textlink="">
      <xdr:nvSpPr>
        <xdr:cNvPr id="66953270" name="Line 121"/>
        <xdr:cNvSpPr>
          <a:spLocks noChangeShapeType="1"/>
        </xdr:cNvSpPr>
      </xdr:nvSpPr>
      <xdr:spPr bwMode="auto">
        <a:xfrm>
          <a:off x="3981450" y="2828925"/>
          <a:ext cx="3524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6</xdr:col>
      <xdr:colOff>9525</xdr:colOff>
      <xdr:row>18</xdr:row>
      <xdr:rowOff>95250</xdr:rowOff>
    </xdr:from>
    <xdr:to>
      <xdr:col>7</xdr:col>
      <xdr:colOff>9525</xdr:colOff>
      <xdr:row>18</xdr:row>
      <xdr:rowOff>95250</xdr:rowOff>
    </xdr:to>
    <xdr:sp macro="" textlink="">
      <xdr:nvSpPr>
        <xdr:cNvPr id="66953271" name="Line 127"/>
        <xdr:cNvSpPr>
          <a:spLocks noChangeShapeType="1"/>
        </xdr:cNvSpPr>
      </xdr:nvSpPr>
      <xdr:spPr bwMode="auto">
        <a:xfrm flipV="1">
          <a:off x="3981450" y="3162300"/>
          <a:ext cx="361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28575</xdr:colOff>
      <xdr:row>18</xdr:row>
      <xdr:rowOff>85725</xdr:rowOff>
    </xdr:from>
    <xdr:to>
      <xdr:col>15</xdr:col>
      <xdr:colOff>171450</xdr:colOff>
      <xdr:row>18</xdr:row>
      <xdr:rowOff>95250</xdr:rowOff>
    </xdr:to>
    <xdr:sp macro="" textlink="">
      <xdr:nvSpPr>
        <xdr:cNvPr id="66953272" name="Line 128"/>
        <xdr:cNvSpPr>
          <a:spLocks noChangeShapeType="1"/>
        </xdr:cNvSpPr>
      </xdr:nvSpPr>
      <xdr:spPr bwMode="auto">
        <a:xfrm flipV="1">
          <a:off x="4524375" y="3152775"/>
          <a:ext cx="3314700" cy="95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123825</xdr:colOff>
      <xdr:row>14</xdr:row>
      <xdr:rowOff>104775</xdr:rowOff>
    </xdr:from>
    <xdr:to>
      <xdr:col>4</xdr:col>
      <xdr:colOff>561975</xdr:colOff>
      <xdr:row>15</xdr:row>
      <xdr:rowOff>66675</xdr:rowOff>
    </xdr:to>
    <xdr:sp macro="" textlink="">
      <xdr:nvSpPr>
        <xdr:cNvPr id="66953273" name="Line 129"/>
        <xdr:cNvSpPr>
          <a:spLocks noChangeShapeType="1"/>
        </xdr:cNvSpPr>
      </xdr:nvSpPr>
      <xdr:spPr bwMode="auto">
        <a:xfrm flipV="1">
          <a:off x="2581275" y="2524125"/>
          <a:ext cx="438150" cy="1238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  <xdr:twoCellAnchor>
    <xdr:from>
      <xdr:col>4</xdr:col>
      <xdr:colOff>9525</xdr:colOff>
      <xdr:row>26</xdr:row>
      <xdr:rowOff>95250</xdr:rowOff>
    </xdr:from>
    <xdr:to>
      <xdr:col>8</xdr:col>
      <xdr:colOff>466725</xdr:colOff>
      <xdr:row>27</xdr:row>
      <xdr:rowOff>95250</xdr:rowOff>
    </xdr:to>
    <xdr:sp macro="" textlink="">
      <xdr:nvSpPr>
        <xdr:cNvPr id="66953274" name="Line 130"/>
        <xdr:cNvSpPr>
          <a:spLocks noChangeShapeType="1"/>
        </xdr:cNvSpPr>
      </xdr:nvSpPr>
      <xdr:spPr bwMode="auto">
        <a:xfrm flipV="1">
          <a:off x="2466975" y="4457700"/>
          <a:ext cx="2495550" cy="161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  <xdr:twoCellAnchor>
    <xdr:from>
      <xdr:col>4</xdr:col>
      <xdr:colOff>9525</xdr:colOff>
      <xdr:row>18</xdr:row>
      <xdr:rowOff>9525</xdr:rowOff>
    </xdr:from>
    <xdr:to>
      <xdr:col>4</xdr:col>
      <xdr:colOff>533400</xdr:colOff>
      <xdr:row>18</xdr:row>
      <xdr:rowOff>47625</xdr:rowOff>
    </xdr:to>
    <xdr:sp macro="" textlink="">
      <xdr:nvSpPr>
        <xdr:cNvPr id="66953275" name="Line 131"/>
        <xdr:cNvSpPr>
          <a:spLocks noChangeShapeType="1"/>
        </xdr:cNvSpPr>
      </xdr:nvSpPr>
      <xdr:spPr bwMode="auto">
        <a:xfrm>
          <a:off x="2466975" y="3076575"/>
          <a:ext cx="523875" cy="381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0.0151</cdr:x>
      <cdr:y>0.12614</cdr:y>
    </cdr:from>
    <cdr:to>
      <cdr:x>0.13669</cdr:x>
      <cdr:y>0.1937</cdr:y>
    </cdr:to>
    <cdr:sp macro="" textlink="">
      <cdr:nvSpPr>
        <cdr:cNvPr id="1024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4735" y="269894"/>
          <a:ext cx="495691" cy="1428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9144" tIns="18288" rIns="9144" bIns="18288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s-ES" sz="500" b="0" i="0" strike="noStrike">
              <a:solidFill>
                <a:srgbClr val="000000"/>
              </a:solidFill>
              <a:latin typeface="Arial"/>
              <a:cs typeface="Arial"/>
            </a:rPr>
            <a:t>PORCENTAJE</a:t>
          </a:r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0.0151</cdr:x>
      <cdr:y>0.12614</cdr:y>
    </cdr:from>
    <cdr:to>
      <cdr:x>0.13669</cdr:x>
      <cdr:y>0.1937</cdr:y>
    </cdr:to>
    <cdr:sp macro="" textlink="">
      <cdr:nvSpPr>
        <cdr:cNvPr id="1024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4735" y="269894"/>
          <a:ext cx="495691" cy="1428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9144" tIns="18288" rIns="9144" bIns="18288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s-ES" sz="500" b="0" i="0" strike="noStrike">
              <a:solidFill>
                <a:srgbClr val="000000"/>
              </a:solidFill>
              <a:latin typeface="Arial"/>
              <a:cs typeface="Arial"/>
            </a:rPr>
            <a:t>PORCENTAJE</a:t>
          </a:r>
        </a:p>
      </cdr:txBody>
    </cdr: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247650</xdr:colOff>
      <xdr:row>24</xdr:row>
      <xdr:rowOff>9525</xdr:rowOff>
    </xdr:from>
    <xdr:to>
      <xdr:col>5</xdr:col>
      <xdr:colOff>409575</xdr:colOff>
      <xdr:row>38</xdr:row>
      <xdr:rowOff>19050</xdr:rowOff>
    </xdr:to>
    <xdr:graphicFrame macro="">
      <xdr:nvGraphicFramePr>
        <xdr:cNvPr id="6550430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238125</xdr:colOff>
      <xdr:row>42</xdr:row>
      <xdr:rowOff>19050</xdr:rowOff>
    </xdr:from>
    <xdr:to>
      <xdr:col>5</xdr:col>
      <xdr:colOff>419100</xdr:colOff>
      <xdr:row>56</xdr:row>
      <xdr:rowOff>0</xdr:rowOff>
    </xdr:to>
    <xdr:graphicFrame macro="">
      <xdr:nvGraphicFramePr>
        <xdr:cNvPr id="65504308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247650</xdr:colOff>
      <xdr:row>24</xdr:row>
      <xdr:rowOff>9525</xdr:rowOff>
    </xdr:from>
    <xdr:to>
      <xdr:col>5</xdr:col>
      <xdr:colOff>409575</xdr:colOff>
      <xdr:row>38</xdr:row>
      <xdr:rowOff>19050</xdr:rowOff>
    </xdr:to>
    <xdr:graphicFrame macro="">
      <xdr:nvGraphicFramePr>
        <xdr:cNvPr id="65504309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238125</xdr:colOff>
      <xdr:row>42</xdr:row>
      <xdr:rowOff>19050</xdr:rowOff>
    </xdr:from>
    <xdr:to>
      <xdr:col>5</xdr:col>
      <xdr:colOff>419100</xdr:colOff>
      <xdr:row>56</xdr:row>
      <xdr:rowOff>0</xdr:rowOff>
    </xdr:to>
    <xdr:graphicFrame macro="">
      <xdr:nvGraphicFramePr>
        <xdr:cNvPr id="65504310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0.03869</cdr:x>
      <cdr:y>0.12047</cdr:y>
    </cdr:from>
    <cdr:to>
      <cdr:x>0.03869</cdr:x>
      <cdr:y>0.12047</cdr:y>
    </cdr:to>
    <cdr:sp macro="" textlink="">
      <cdr:nvSpPr>
        <cdr:cNvPr id="1228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82283" y="275126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9144" tIns="18288" rIns="9144" bIns="18288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s-ES" sz="500" b="0" i="0" strike="noStrike">
              <a:solidFill>
                <a:srgbClr val="000000"/>
              </a:solidFill>
              <a:latin typeface="Arial"/>
              <a:cs typeface="Arial"/>
            </a:rPr>
            <a:t>PORCENTAJE</a:t>
          </a: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0.03869</cdr:x>
      <cdr:y>0.12047</cdr:y>
    </cdr:from>
    <cdr:to>
      <cdr:x>0.03869</cdr:x>
      <cdr:y>0.12047</cdr:y>
    </cdr:to>
    <cdr:sp macro="" textlink="">
      <cdr:nvSpPr>
        <cdr:cNvPr id="1228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82283" y="275126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9144" tIns="18288" rIns="9144" bIns="18288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s-ES" sz="500" b="0" i="0" strike="noStrike">
              <a:solidFill>
                <a:srgbClr val="000000"/>
              </a:solidFill>
              <a:latin typeface="Arial"/>
              <a:cs typeface="Arial"/>
            </a:rPr>
            <a:t>PORCENTAJE</a:t>
          </a:r>
        </a:p>
      </cdr:txBody>
    </cdr: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28575</xdr:colOff>
      <xdr:row>30</xdr:row>
      <xdr:rowOff>9525</xdr:rowOff>
    </xdr:from>
    <xdr:to>
      <xdr:col>27</xdr:col>
      <xdr:colOff>19050</xdr:colOff>
      <xdr:row>55</xdr:row>
      <xdr:rowOff>19050</xdr:rowOff>
    </xdr:to>
    <xdr:graphicFrame macro="">
      <xdr:nvGraphicFramePr>
        <xdr:cNvPr id="6550837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28575</xdr:colOff>
      <xdr:row>30</xdr:row>
      <xdr:rowOff>9525</xdr:rowOff>
    </xdr:from>
    <xdr:to>
      <xdr:col>27</xdr:col>
      <xdr:colOff>19050</xdr:colOff>
      <xdr:row>55</xdr:row>
      <xdr:rowOff>19050</xdr:rowOff>
    </xdr:to>
    <xdr:graphicFrame macro="">
      <xdr:nvGraphicFramePr>
        <xdr:cNvPr id="65508379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0.1565</cdr:x>
      <cdr:y>0.01171</cdr:y>
    </cdr:from>
    <cdr:to>
      <cdr:x>0.88456</cdr:x>
      <cdr:y>0.17187</cdr:y>
    </cdr:to>
    <cdr:sp macro="" textlink="">
      <cdr:nvSpPr>
        <cdr:cNvPr id="2355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84983" y="50800"/>
          <a:ext cx="6428537" cy="65139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36576" tIns="32004" rIns="36576" bIns="0" anchor="t" upright="1"/>
        <a:lstStyle xmlns:a="http://schemas.openxmlformats.org/drawingml/2006/main"/>
        <a:p xmlns:a="http://schemas.openxmlformats.org/drawingml/2006/main">
          <a:pPr algn="ctr" rtl="1">
            <a:defRPr sz="1000"/>
          </a:pPr>
          <a:r>
            <a:rPr lang="es-ES" sz="1600" b="1" i="0" strike="noStrike">
              <a:solidFill>
                <a:srgbClr val="000000"/>
              </a:solidFill>
              <a:latin typeface="Arial"/>
              <a:cs typeface="Arial"/>
            </a:rPr>
            <a:t>TASA NATALIDAD PAIS REGION SERV. SALUD</a:t>
          </a:r>
        </a:p>
        <a:p xmlns:a="http://schemas.openxmlformats.org/drawingml/2006/main">
          <a:pPr algn="ctr" rtl="1">
            <a:defRPr sz="1000"/>
          </a:pPr>
          <a:r>
            <a:rPr lang="es-ES" sz="1600" b="1" i="0" strike="noStrike">
              <a:solidFill>
                <a:srgbClr val="000000"/>
              </a:solidFill>
              <a:latin typeface="Arial"/>
              <a:cs typeface="Arial"/>
            </a:rPr>
            <a:t>AÑOS  2004 - 2013 (tasas  x 1000 hb.)</a:t>
          </a:r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0.1565</cdr:x>
      <cdr:y>0.01171</cdr:y>
    </cdr:from>
    <cdr:to>
      <cdr:x>0.88456</cdr:x>
      <cdr:y>0.17187</cdr:y>
    </cdr:to>
    <cdr:sp macro="" textlink="">
      <cdr:nvSpPr>
        <cdr:cNvPr id="2355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84983" y="50800"/>
          <a:ext cx="6428537" cy="65139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36576" tIns="32004" rIns="36576" bIns="0" anchor="t" upright="1"/>
        <a:lstStyle xmlns:a="http://schemas.openxmlformats.org/drawingml/2006/main"/>
        <a:p xmlns:a="http://schemas.openxmlformats.org/drawingml/2006/main">
          <a:pPr algn="ctr" rtl="1">
            <a:defRPr sz="1000"/>
          </a:pPr>
          <a:r>
            <a:rPr lang="es-ES" sz="1600" b="1" i="0" strike="noStrike">
              <a:solidFill>
                <a:srgbClr val="000000"/>
              </a:solidFill>
              <a:latin typeface="Arial"/>
              <a:cs typeface="Arial"/>
            </a:rPr>
            <a:t>TASA NATALIDAD PAIS REGION SERV. SALUD</a:t>
          </a:r>
        </a:p>
        <a:p xmlns:a="http://schemas.openxmlformats.org/drawingml/2006/main">
          <a:pPr algn="ctr" rtl="1">
            <a:defRPr sz="1000"/>
          </a:pPr>
          <a:r>
            <a:rPr lang="es-ES" sz="1600" b="1" i="0" strike="noStrike">
              <a:solidFill>
                <a:srgbClr val="000000"/>
              </a:solidFill>
              <a:latin typeface="Arial"/>
              <a:cs typeface="Arial"/>
            </a:rPr>
            <a:t>AÑOS  2005 - 2014 (tasas  x 1000 hb.)</a:t>
          </a:r>
        </a:p>
      </cdr:txBody>
    </cdr: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371475</xdr:colOff>
      <xdr:row>33</xdr:row>
      <xdr:rowOff>0</xdr:rowOff>
    </xdr:from>
    <xdr:to>
      <xdr:col>26</xdr:col>
      <xdr:colOff>381000</xdr:colOff>
      <xdr:row>58</xdr:row>
      <xdr:rowOff>0</xdr:rowOff>
    </xdr:to>
    <xdr:graphicFrame macro="">
      <xdr:nvGraphicFramePr>
        <xdr:cNvPr id="6551145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371475</xdr:colOff>
      <xdr:row>33</xdr:row>
      <xdr:rowOff>0</xdr:rowOff>
    </xdr:from>
    <xdr:to>
      <xdr:col>26</xdr:col>
      <xdr:colOff>381000</xdr:colOff>
      <xdr:row>58</xdr:row>
      <xdr:rowOff>0</xdr:rowOff>
    </xdr:to>
    <xdr:graphicFrame macro="">
      <xdr:nvGraphicFramePr>
        <xdr:cNvPr id="6551145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9525</xdr:colOff>
      <xdr:row>33</xdr:row>
      <xdr:rowOff>0</xdr:rowOff>
    </xdr:from>
    <xdr:to>
      <xdr:col>26</xdr:col>
      <xdr:colOff>371475</xdr:colOff>
      <xdr:row>59</xdr:row>
      <xdr:rowOff>0</xdr:rowOff>
    </xdr:to>
    <xdr:graphicFrame macro="">
      <xdr:nvGraphicFramePr>
        <xdr:cNvPr id="6551452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9525</xdr:colOff>
      <xdr:row>33</xdr:row>
      <xdr:rowOff>0</xdr:rowOff>
    </xdr:from>
    <xdr:to>
      <xdr:col>26</xdr:col>
      <xdr:colOff>371475</xdr:colOff>
      <xdr:row>59</xdr:row>
      <xdr:rowOff>0</xdr:rowOff>
    </xdr:to>
    <xdr:graphicFrame macro="">
      <xdr:nvGraphicFramePr>
        <xdr:cNvPr id="6551452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581025</xdr:colOff>
      <xdr:row>35</xdr:row>
      <xdr:rowOff>152400</xdr:rowOff>
    </xdr:from>
    <xdr:to>
      <xdr:col>6</xdr:col>
      <xdr:colOff>333375</xdr:colOff>
      <xdr:row>49</xdr:row>
      <xdr:rowOff>0</xdr:rowOff>
    </xdr:to>
    <xdr:graphicFrame macro="">
      <xdr:nvGraphicFramePr>
        <xdr:cNvPr id="6548892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581025</xdr:colOff>
      <xdr:row>35</xdr:row>
      <xdr:rowOff>152400</xdr:rowOff>
    </xdr:from>
    <xdr:to>
      <xdr:col>6</xdr:col>
      <xdr:colOff>333375</xdr:colOff>
      <xdr:row>49</xdr:row>
      <xdr:rowOff>0</xdr:rowOff>
    </xdr:to>
    <xdr:graphicFrame macro="">
      <xdr:nvGraphicFramePr>
        <xdr:cNvPr id="6548892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28575</xdr:colOff>
      <xdr:row>32</xdr:row>
      <xdr:rowOff>0</xdr:rowOff>
    </xdr:from>
    <xdr:to>
      <xdr:col>25</xdr:col>
      <xdr:colOff>0</xdr:colOff>
      <xdr:row>55</xdr:row>
      <xdr:rowOff>9525</xdr:rowOff>
    </xdr:to>
    <xdr:graphicFrame macro="">
      <xdr:nvGraphicFramePr>
        <xdr:cNvPr id="6551759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28575</xdr:colOff>
      <xdr:row>32</xdr:row>
      <xdr:rowOff>0</xdr:rowOff>
    </xdr:from>
    <xdr:to>
      <xdr:col>25</xdr:col>
      <xdr:colOff>0</xdr:colOff>
      <xdr:row>55</xdr:row>
      <xdr:rowOff>9525</xdr:rowOff>
    </xdr:to>
    <xdr:graphicFrame macro="">
      <xdr:nvGraphicFramePr>
        <xdr:cNvPr id="6551759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32</xdr:row>
      <xdr:rowOff>9525</xdr:rowOff>
    </xdr:from>
    <xdr:to>
      <xdr:col>26</xdr:col>
      <xdr:colOff>9525</xdr:colOff>
      <xdr:row>55</xdr:row>
      <xdr:rowOff>19050</xdr:rowOff>
    </xdr:to>
    <xdr:graphicFrame macro="">
      <xdr:nvGraphicFramePr>
        <xdr:cNvPr id="6552066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0</xdr:colOff>
      <xdr:row>32</xdr:row>
      <xdr:rowOff>9525</xdr:rowOff>
    </xdr:from>
    <xdr:to>
      <xdr:col>26</xdr:col>
      <xdr:colOff>9525</xdr:colOff>
      <xdr:row>55</xdr:row>
      <xdr:rowOff>19050</xdr:rowOff>
    </xdr:to>
    <xdr:graphicFrame macro="">
      <xdr:nvGraphicFramePr>
        <xdr:cNvPr id="6552066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31</xdr:row>
      <xdr:rowOff>152400</xdr:rowOff>
    </xdr:from>
    <xdr:to>
      <xdr:col>24</xdr:col>
      <xdr:colOff>314325</xdr:colOff>
      <xdr:row>55</xdr:row>
      <xdr:rowOff>0</xdr:rowOff>
    </xdr:to>
    <xdr:graphicFrame macro="">
      <xdr:nvGraphicFramePr>
        <xdr:cNvPr id="6552373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0</xdr:colOff>
      <xdr:row>31</xdr:row>
      <xdr:rowOff>152400</xdr:rowOff>
    </xdr:from>
    <xdr:to>
      <xdr:col>24</xdr:col>
      <xdr:colOff>314325</xdr:colOff>
      <xdr:row>55</xdr:row>
      <xdr:rowOff>0</xdr:rowOff>
    </xdr:to>
    <xdr:graphicFrame macro="">
      <xdr:nvGraphicFramePr>
        <xdr:cNvPr id="65523739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30</xdr:row>
      <xdr:rowOff>19050</xdr:rowOff>
    </xdr:from>
    <xdr:to>
      <xdr:col>24</xdr:col>
      <xdr:colOff>352425</xdr:colOff>
      <xdr:row>53</xdr:row>
      <xdr:rowOff>38100</xdr:rowOff>
    </xdr:to>
    <xdr:graphicFrame macro="">
      <xdr:nvGraphicFramePr>
        <xdr:cNvPr id="6552681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0</xdr:colOff>
      <xdr:row>30</xdr:row>
      <xdr:rowOff>19050</xdr:rowOff>
    </xdr:from>
    <xdr:to>
      <xdr:col>24</xdr:col>
      <xdr:colOff>352425</xdr:colOff>
      <xdr:row>53</xdr:row>
      <xdr:rowOff>38100</xdr:rowOff>
    </xdr:to>
    <xdr:graphicFrame macro="">
      <xdr:nvGraphicFramePr>
        <xdr:cNvPr id="6552681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</xdr:colOff>
      <xdr:row>31</xdr:row>
      <xdr:rowOff>19050</xdr:rowOff>
    </xdr:from>
    <xdr:to>
      <xdr:col>25</xdr:col>
      <xdr:colOff>47625</xdr:colOff>
      <xdr:row>54</xdr:row>
      <xdr:rowOff>28575</xdr:rowOff>
    </xdr:to>
    <xdr:graphicFrame macro="">
      <xdr:nvGraphicFramePr>
        <xdr:cNvPr id="6552988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19050</xdr:colOff>
      <xdr:row>31</xdr:row>
      <xdr:rowOff>19050</xdr:rowOff>
    </xdr:from>
    <xdr:to>
      <xdr:col>25</xdr:col>
      <xdr:colOff>47625</xdr:colOff>
      <xdr:row>54</xdr:row>
      <xdr:rowOff>28575</xdr:rowOff>
    </xdr:to>
    <xdr:graphicFrame macro="">
      <xdr:nvGraphicFramePr>
        <xdr:cNvPr id="6552988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33</xdr:row>
      <xdr:rowOff>0</xdr:rowOff>
    </xdr:from>
    <xdr:to>
      <xdr:col>25</xdr:col>
      <xdr:colOff>47625</xdr:colOff>
      <xdr:row>55</xdr:row>
      <xdr:rowOff>152400</xdr:rowOff>
    </xdr:to>
    <xdr:graphicFrame macro="">
      <xdr:nvGraphicFramePr>
        <xdr:cNvPr id="6553295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0</xdr:colOff>
      <xdr:row>33</xdr:row>
      <xdr:rowOff>0</xdr:rowOff>
    </xdr:from>
    <xdr:to>
      <xdr:col>25</xdr:col>
      <xdr:colOff>47625</xdr:colOff>
      <xdr:row>55</xdr:row>
      <xdr:rowOff>152400</xdr:rowOff>
    </xdr:to>
    <xdr:graphicFrame macro="">
      <xdr:nvGraphicFramePr>
        <xdr:cNvPr id="6553295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0.16144</cdr:x>
      <cdr:y>0.01279</cdr:y>
    </cdr:from>
    <cdr:to>
      <cdr:x>0.87856</cdr:x>
      <cdr:y>0.14312</cdr:y>
    </cdr:to>
    <cdr:sp macro="" textlink="">
      <cdr:nvSpPr>
        <cdr:cNvPr id="39937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61027" y="50800"/>
          <a:ext cx="5587442" cy="4853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1">
            <a:defRPr sz="1000"/>
          </a:pPr>
          <a:r>
            <a:rPr lang="es-ES" sz="1400" b="1" i="0" strike="noStrike">
              <a:solidFill>
                <a:srgbClr val="000000"/>
              </a:solidFill>
              <a:latin typeface="Arial"/>
              <a:cs typeface="Arial"/>
            </a:rPr>
            <a:t>TASA MORT. GENERAL  PAIS REGION SERV. SALUD</a:t>
          </a:r>
        </a:p>
        <a:p xmlns:a="http://schemas.openxmlformats.org/drawingml/2006/main">
          <a:pPr algn="ctr" rtl="1">
            <a:defRPr sz="1000"/>
          </a:pPr>
          <a:r>
            <a:rPr lang="es-ES" sz="1400" b="1" i="0" strike="noStrike">
              <a:solidFill>
                <a:srgbClr val="000000"/>
              </a:solidFill>
              <a:latin typeface="Arial"/>
              <a:cs typeface="Arial"/>
            </a:rPr>
            <a:t>AÑOS  2004 - 2013 (tasa x mil hb.)</a:t>
          </a:r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0.16144</cdr:x>
      <cdr:y>0.01279</cdr:y>
    </cdr:from>
    <cdr:to>
      <cdr:x>0.87856</cdr:x>
      <cdr:y>0.14312</cdr:y>
    </cdr:to>
    <cdr:sp macro="" textlink="">
      <cdr:nvSpPr>
        <cdr:cNvPr id="39937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61027" y="50800"/>
          <a:ext cx="5587442" cy="4853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1">
            <a:defRPr sz="1000"/>
          </a:pPr>
          <a:r>
            <a:rPr lang="es-ES" sz="1400" b="1" i="0" strike="noStrike">
              <a:solidFill>
                <a:srgbClr val="000000"/>
              </a:solidFill>
              <a:latin typeface="Arial"/>
              <a:cs typeface="Arial"/>
            </a:rPr>
            <a:t>TASA MORT. GENERAL  PAIS REGION SERV. SALUD</a:t>
          </a:r>
        </a:p>
        <a:p xmlns:a="http://schemas.openxmlformats.org/drawingml/2006/main">
          <a:pPr algn="ctr" rtl="1">
            <a:defRPr sz="1000"/>
          </a:pPr>
          <a:r>
            <a:rPr lang="es-ES" sz="1400" b="1" i="0" strike="noStrike">
              <a:solidFill>
                <a:srgbClr val="000000"/>
              </a:solidFill>
              <a:latin typeface="Arial"/>
              <a:cs typeface="Arial"/>
            </a:rPr>
            <a:t>AÑOS  2005 - 2014 (tasa x mil hb.)</a:t>
          </a:r>
        </a:p>
      </cdr:txBody>
    </cdr:sp>
  </cdr:relSizeAnchor>
</c:userShapes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1085850</xdr:colOff>
      <xdr:row>63</xdr:row>
      <xdr:rowOff>114300</xdr:rowOff>
    </xdr:from>
    <xdr:to>
      <xdr:col>14</xdr:col>
      <xdr:colOff>228600</xdr:colOff>
      <xdr:row>93</xdr:row>
      <xdr:rowOff>38100</xdr:rowOff>
    </xdr:to>
    <xdr:graphicFrame macro="">
      <xdr:nvGraphicFramePr>
        <xdr:cNvPr id="6553707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1133475</xdr:colOff>
      <xdr:row>118</xdr:row>
      <xdr:rowOff>130175</xdr:rowOff>
    </xdr:from>
    <xdr:to>
      <xdr:col>14</xdr:col>
      <xdr:colOff>276225</xdr:colOff>
      <xdr:row>148</xdr:row>
      <xdr:rowOff>50800</xdr:rowOff>
    </xdr:to>
    <xdr:graphicFrame macro="">
      <xdr:nvGraphicFramePr>
        <xdr:cNvPr id="65537078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0.01265</cdr:x>
      <cdr:y>0.79649</cdr:y>
    </cdr:from>
    <cdr:to>
      <cdr:x>0.1385</cdr:x>
      <cdr:y>0.83422</cdr:y>
    </cdr:to>
    <cdr:sp macro="" textlink="">
      <cdr:nvSpPr>
        <cdr:cNvPr id="4198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13158" y="3819200"/>
          <a:ext cx="1094487" cy="18078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800" b="1" i="0" strike="noStrike">
              <a:solidFill>
                <a:srgbClr val="000000"/>
              </a:solidFill>
              <a:latin typeface="Arial"/>
              <a:cs typeface="Arial"/>
            </a:rPr>
            <a:t>TUMORES</a:t>
          </a:r>
        </a:p>
      </cdr:txBody>
    </cdr:sp>
  </cdr:relSizeAnchor>
  <cdr:relSizeAnchor xmlns:cdr="http://schemas.openxmlformats.org/drawingml/2006/chartDrawing">
    <cdr:from>
      <cdr:x>0.01265</cdr:x>
      <cdr:y>0.7242</cdr:y>
    </cdr:from>
    <cdr:to>
      <cdr:x>0.18894</cdr:x>
      <cdr:y>0.77982</cdr:y>
    </cdr:to>
    <cdr:sp macro="" textlink="">
      <cdr:nvSpPr>
        <cdr:cNvPr id="41986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13158" y="3472882"/>
          <a:ext cx="1533141" cy="26648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800" b="1" i="0" strike="noStrike">
              <a:solidFill>
                <a:srgbClr val="000000"/>
              </a:solidFill>
              <a:latin typeface="Arial"/>
              <a:cs typeface="Arial"/>
            </a:rPr>
            <a:t>AP. RESPIRATORIO</a:t>
          </a:r>
        </a:p>
      </cdr:txBody>
    </cdr:sp>
  </cdr:relSizeAnchor>
  <cdr:relSizeAnchor xmlns:cdr="http://schemas.openxmlformats.org/drawingml/2006/chartDrawing">
    <cdr:from>
      <cdr:x>0.01265</cdr:x>
      <cdr:y>0.65216</cdr:y>
    </cdr:from>
    <cdr:to>
      <cdr:x>0.17807</cdr:x>
      <cdr:y>0.70779</cdr:y>
    </cdr:to>
    <cdr:sp macro="" textlink="">
      <cdr:nvSpPr>
        <cdr:cNvPr id="41987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13158" y="3127739"/>
          <a:ext cx="1438530" cy="26648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800" b="1" i="0" strike="noStrike">
              <a:solidFill>
                <a:srgbClr val="000000"/>
              </a:solidFill>
              <a:latin typeface="Arial"/>
              <a:cs typeface="Arial"/>
            </a:rPr>
            <a:t>TRAUMA Y ENVEN.</a:t>
          </a:r>
        </a:p>
      </cdr:txBody>
    </cdr:sp>
  </cdr:relSizeAnchor>
  <cdr:relSizeAnchor xmlns:cdr="http://schemas.openxmlformats.org/drawingml/2006/chartDrawing">
    <cdr:from>
      <cdr:x>0.01265</cdr:x>
      <cdr:y>0.59777</cdr:y>
    </cdr:from>
    <cdr:to>
      <cdr:x>0.14963</cdr:x>
      <cdr:y>0.6355</cdr:y>
    </cdr:to>
    <cdr:sp macro="" textlink="">
      <cdr:nvSpPr>
        <cdr:cNvPr id="41988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13158" y="2867121"/>
          <a:ext cx="1191249" cy="18078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800" b="1" i="0" strike="noStrike">
              <a:solidFill>
                <a:srgbClr val="000000"/>
              </a:solidFill>
              <a:latin typeface="Arial"/>
              <a:cs typeface="Arial"/>
            </a:rPr>
            <a:t>AP. DIGESTIVO</a:t>
          </a:r>
        </a:p>
      </cdr:txBody>
    </cdr:sp>
  </cdr:relSizeAnchor>
  <cdr:relSizeAnchor xmlns:cdr="http://schemas.openxmlformats.org/drawingml/2006/chartDrawing">
    <cdr:from>
      <cdr:x>0.01265</cdr:x>
      <cdr:y>0.53357</cdr:y>
    </cdr:from>
    <cdr:to>
      <cdr:x>0.17905</cdr:x>
      <cdr:y>0.58135</cdr:y>
    </cdr:to>
    <cdr:sp macro="" textlink="">
      <cdr:nvSpPr>
        <cdr:cNvPr id="41989" name="Text Box 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13158" y="2559545"/>
          <a:ext cx="1447131" cy="22892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800" b="1" i="0" strike="noStrike">
              <a:solidFill>
                <a:srgbClr val="000000"/>
              </a:solidFill>
              <a:latin typeface="Arial"/>
              <a:cs typeface="Arial"/>
            </a:rPr>
            <a:t>INFECC. Y PARASIT</a:t>
          </a:r>
        </a:p>
      </cdr:txBody>
    </cdr:sp>
  </cdr:relSizeAnchor>
  <cdr:relSizeAnchor xmlns:cdr="http://schemas.openxmlformats.org/drawingml/2006/chartDrawing">
    <cdr:from>
      <cdr:x>0.01265</cdr:x>
      <cdr:y>0.33706</cdr:y>
    </cdr:from>
    <cdr:to>
      <cdr:x>0.18796</cdr:x>
      <cdr:y>0.37871</cdr:y>
    </cdr:to>
    <cdr:sp macro="" textlink="">
      <cdr:nvSpPr>
        <cdr:cNvPr id="41990" name="Text Box 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13158" y="1618032"/>
          <a:ext cx="1524540" cy="1995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800" b="1" i="0" strike="noStrike">
              <a:solidFill>
                <a:srgbClr val="000000"/>
              </a:solidFill>
              <a:latin typeface="Arial"/>
              <a:cs typeface="Arial"/>
            </a:rPr>
            <a:t>GLANDULAS ENDOCR</a:t>
          </a:r>
        </a:p>
      </cdr:txBody>
    </cdr:sp>
  </cdr:relSizeAnchor>
  <cdr:relSizeAnchor xmlns:cdr="http://schemas.openxmlformats.org/drawingml/2006/chartDrawing">
    <cdr:from>
      <cdr:x>0.00548</cdr:x>
      <cdr:y>0.20278</cdr:y>
    </cdr:from>
    <cdr:to>
      <cdr:x>0.08534</cdr:x>
      <cdr:y>0.21871</cdr:y>
    </cdr:to>
    <cdr:sp macro="" textlink="">
      <cdr:nvSpPr>
        <cdr:cNvPr id="41991" name="Text Box 7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974704"/>
          <a:ext cx="694537" cy="7630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</cdr:sp>
  </cdr:relSizeAnchor>
  <cdr:relSizeAnchor xmlns:cdr="http://schemas.openxmlformats.org/drawingml/2006/chartDrawing">
    <cdr:from>
      <cdr:x>0.01265</cdr:x>
      <cdr:y>0.46129</cdr:y>
    </cdr:from>
    <cdr:to>
      <cdr:x>0.17905</cdr:x>
      <cdr:y>0.51495</cdr:y>
    </cdr:to>
    <cdr:sp macro="" textlink="">
      <cdr:nvSpPr>
        <cdr:cNvPr id="41992" name="Text Box 8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13158" y="2213227"/>
          <a:ext cx="1447131" cy="25709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800" b="1" i="0" strike="noStrike">
              <a:solidFill>
                <a:srgbClr val="000000"/>
              </a:solidFill>
              <a:latin typeface="Arial"/>
              <a:cs typeface="Arial"/>
            </a:rPr>
            <a:t>MAL DEFINIDAS</a:t>
          </a:r>
        </a:p>
      </cdr:txBody>
    </cdr:sp>
  </cdr:relSizeAnchor>
  <cdr:relSizeAnchor xmlns:cdr="http://schemas.openxmlformats.org/drawingml/2006/chartDrawing">
    <cdr:from>
      <cdr:x>0.01265</cdr:x>
      <cdr:y>0.4015</cdr:y>
    </cdr:from>
    <cdr:to>
      <cdr:x>0.19982</cdr:x>
      <cdr:y>0.44928</cdr:y>
    </cdr:to>
    <cdr:sp macro="" textlink="">
      <cdr:nvSpPr>
        <cdr:cNvPr id="41993" name="Text Box 9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13158" y="1926782"/>
          <a:ext cx="1627753" cy="22892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800" b="1" i="0" strike="noStrike">
              <a:solidFill>
                <a:srgbClr val="000000"/>
              </a:solidFill>
              <a:latin typeface="Arial"/>
              <a:cs typeface="Arial"/>
            </a:rPr>
            <a:t>AP. GENITOURINARIO</a:t>
          </a:r>
        </a:p>
      </cdr:txBody>
    </cdr:sp>
  </cdr:relSizeAnchor>
  <cdr:relSizeAnchor xmlns:cdr="http://schemas.openxmlformats.org/drawingml/2006/chartDrawing">
    <cdr:from>
      <cdr:x>0.01265</cdr:x>
      <cdr:y>0.26722</cdr:y>
    </cdr:from>
    <cdr:to>
      <cdr:x>0.19982</cdr:x>
      <cdr:y>0.315</cdr:y>
    </cdr:to>
    <cdr:sp macro="" textlink="">
      <cdr:nvSpPr>
        <cdr:cNvPr id="41994" name="Text Box 1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13158" y="1283454"/>
          <a:ext cx="1627753" cy="22892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800" b="1" i="0" strike="noStrike">
              <a:solidFill>
                <a:srgbClr val="000000"/>
              </a:solidFill>
              <a:latin typeface="Arial"/>
              <a:cs typeface="Arial"/>
            </a:rPr>
            <a:t>AFEC. PERIODO PER</a:t>
          </a:r>
        </a:p>
      </cdr:txBody>
    </cdr:sp>
  </cdr:relSizeAnchor>
  <cdr:relSizeAnchor xmlns:cdr="http://schemas.openxmlformats.org/drawingml/2006/chartDrawing">
    <cdr:from>
      <cdr:x>0.01265</cdr:x>
      <cdr:y>0.21773</cdr:y>
    </cdr:from>
    <cdr:to>
      <cdr:x>0.22282</cdr:x>
      <cdr:y>0.26355</cdr:y>
    </cdr:to>
    <cdr:sp macro="" textlink="">
      <cdr:nvSpPr>
        <cdr:cNvPr id="41995" name="Text Box 1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13158" y="1046315"/>
          <a:ext cx="1827728" cy="21953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800" b="1" i="0" strike="noStrike">
              <a:solidFill>
                <a:srgbClr val="000000"/>
              </a:solidFill>
              <a:latin typeface="Arial"/>
              <a:cs typeface="Arial"/>
            </a:rPr>
            <a:t>ANOMALIAS  CONG.</a:t>
          </a:r>
        </a:p>
        <a:p xmlns:a="http://schemas.openxmlformats.org/drawingml/2006/main">
          <a:pPr algn="l" rtl="0">
            <a:defRPr sz="1000"/>
          </a:pPr>
          <a:endParaRPr lang="es-ES" sz="800" b="1" i="0" strike="noStrike">
            <a:solidFill>
              <a:srgbClr val="00000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0.01413</cdr:x>
      <cdr:y>0.15108</cdr:y>
    </cdr:from>
    <cdr:to>
      <cdr:x>0.12367</cdr:x>
      <cdr:y>0.19077</cdr:y>
    </cdr:to>
    <cdr:sp macro="" textlink="">
      <cdr:nvSpPr>
        <cdr:cNvPr id="41996" name="Text Box 1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6059" y="726999"/>
          <a:ext cx="952569" cy="19018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800" b="1" i="0" strike="noStrike">
              <a:solidFill>
                <a:srgbClr val="000000"/>
              </a:solidFill>
              <a:latin typeface="Arial"/>
              <a:cs typeface="Arial"/>
            </a:rPr>
            <a:t>RESTO</a:t>
          </a:r>
        </a:p>
      </cdr:txBody>
    </cdr:sp>
  </cdr:relSizeAnchor>
  <cdr:relSizeAnchor xmlns:cdr="http://schemas.openxmlformats.org/drawingml/2006/chartDrawing">
    <cdr:from>
      <cdr:x>0.87485</cdr:x>
      <cdr:y>0.85382</cdr:y>
    </cdr:from>
    <cdr:to>
      <cdr:x>0.98439</cdr:x>
      <cdr:y>0.89352</cdr:y>
    </cdr:to>
    <cdr:sp macro="" textlink="">
      <cdr:nvSpPr>
        <cdr:cNvPr id="41997" name="Text Box 1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611145" y="4093905"/>
          <a:ext cx="952569" cy="19018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800" b="1" i="0" strike="noStrike">
              <a:solidFill>
                <a:srgbClr val="000000"/>
              </a:solidFill>
              <a:latin typeface="Arial"/>
              <a:cs typeface="Arial"/>
            </a:rPr>
            <a:t>Nº fallecidos</a:t>
          </a: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0.01678</cdr:x>
      <cdr:y>0.05824</cdr:y>
    </cdr:from>
    <cdr:to>
      <cdr:x>0.05743</cdr:x>
      <cdr:y>0.15232</cdr:y>
    </cdr:to>
    <cdr:sp macro="" textlink="">
      <cdr:nvSpPr>
        <cdr:cNvPr id="1638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790" y="126881"/>
          <a:ext cx="190528" cy="19983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18288" bIns="22860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s-ES" sz="1000" b="0" i="0" strike="noStrike">
              <a:solidFill>
                <a:srgbClr val="000000"/>
              </a:solidFill>
              <a:latin typeface="Arial"/>
              <a:cs typeface="Arial"/>
            </a:rPr>
            <a:t>%</a:t>
          </a:r>
        </a:p>
      </cdr:txBody>
    </cdr: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0.02427</cdr:x>
      <cdr:y>0.81952</cdr:y>
    </cdr:from>
    <cdr:to>
      <cdr:x>0.15012</cdr:x>
      <cdr:y>0.85725</cdr:y>
    </cdr:to>
    <cdr:sp macro="" textlink="">
      <cdr:nvSpPr>
        <cdr:cNvPr id="4300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4220" y="3929551"/>
          <a:ext cx="1094487" cy="18079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800" b="1" i="0" strike="noStrike">
              <a:solidFill>
                <a:srgbClr val="000000"/>
              </a:solidFill>
              <a:latin typeface="Arial"/>
              <a:cs typeface="Arial"/>
            </a:rPr>
            <a:t>TUMORES</a:t>
          </a:r>
        </a:p>
      </cdr:txBody>
    </cdr:sp>
  </cdr:relSizeAnchor>
  <cdr:relSizeAnchor xmlns:cdr="http://schemas.openxmlformats.org/drawingml/2006/chartDrawing">
    <cdr:from>
      <cdr:x>0.01413</cdr:x>
      <cdr:y>0.74478</cdr:y>
    </cdr:from>
    <cdr:to>
      <cdr:x>0.19043</cdr:x>
      <cdr:y>0.80041</cdr:y>
    </cdr:to>
    <cdr:sp macro="" textlink="">
      <cdr:nvSpPr>
        <cdr:cNvPr id="43010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6059" y="3571495"/>
          <a:ext cx="1533142" cy="26648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800" b="1" i="0" strike="noStrike">
              <a:solidFill>
                <a:srgbClr val="000000"/>
              </a:solidFill>
              <a:latin typeface="Arial"/>
              <a:cs typeface="Arial"/>
            </a:rPr>
            <a:t>AP. RESPIRATORIO</a:t>
          </a:r>
        </a:p>
      </cdr:txBody>
    </cdr:sp>
  </cdr:relSizeAnchor>
  <cdr:relSizeAnchor xmlns:cdr="http://schemas.openxmlformats.org/drawingml/2006/chartDrawing">
    <cdr:from>
      <cdr:x>0.01289</cdr:x>
      <cdr:y>0.67226</cdr:y>
    </cdr:from>
    <cdr:to>
      <cdr:x>0.17831</cdr:x>
      <cdr:y>0.72788</cdr:y>
    </cdr:to>
    <cdr:sp macro="" textlink="">
      <cdr:nvSpPr>
        <cdr:cNvPr id="43011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15308" y="3224004"/>
          <a:ext cx="1438530" cy="26648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800" b="1" i="0" strike="noStrike">
              <a:solidFill>
                <a:srgbClr val="000000"/>
              </a:solidFill>
              <a:latin typeface="Arial"/>
              <a:cs typeface="Arial"/>
            </a:rPr>
            <a:t>TRAUMA Y ENVEN.</a:t>
          </a:r>
        </a:p>
      </cdr:txBody>
    </cdr:sp>
  </cdr:relSizeAnchor>
  <cdr:relSizeAnchor xmlns:cdr="http://schemas.openxmlformats.org/drawingml/2006/chartDrawing">
    <cdr:from>
      <cdr:x>0.01289</cdr:x>
      <cdr:y>0.59997</cdr:y>
    </cdr:from>
    <cdr:to>
      <cdr:x>0.14988</cdr:x>
      <cdr:y>0.63771</cdr:y>
    </cdr:to>
    <cdr:sp macro="" textlink="">
      <cdr:nvSpPr>
        <cdr:cNvPr id="43012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15308" y="2877687"/>
          <a:ext cx="1191249" cy="18078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800" b="1" i="0" strike="noStrike">
              <a:solidFill>
                <a:srgbClr val="000000"/>
              </a:solidFill>
              <a:latin typeface="Arial"/>
              <a:cs typeface="Arial"/>
            </a:rPr>
            <a:t>AP. DIGESTIVO</a:t>
          </a:r>
        </a:p>
      </cdr:txBody>
    </cdr:sp>
  </cdr:relSizeAnchor>
  <cdr:relSizeAnchor xmlns:cdr="http://schemas.openxmlformats.org/drawingml/2006/chartDrawing">
    <cdr:from>
      <cdr:x>0.01289</cdr:x>
      <cdr:y>0.53528</cdr:y>
    </cdr:from>
    <cdr:to>
      <cdr:x>0.1793</cdr:x>
      <cdr:y>0.58307</cdr:y>
    </cdr:to>
    <cdr:sp macro="" textlink="">
      <cdr:nvSpPr>
        <cdr:cNvPr id="43013" name="Text Box 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15308" y="2567762"/>
          <a:ext cx="1447131" cy="22892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800" b="1" i="0" strike="noStrike">
              <a:solidFill>
                <a:srgbClr val="000000"/>
              </a:solidFill>
              <a:latin typeface="Arial"/>
              <a:cs typeface="Arial"/>
            </a:rPr>
            <a:t>INFECC. Y PARASIT</a:t>
          </a:r>
        </a:p>
      </cdr:txBody>
    </cdr:sp>
  </cdr:relSizeAnchor>
  <cdr:relSizeAnchor xmlns:cdr="http://schemas.openxmlformats.org/drawingml/2006/chartDrawing">
    <cdr:from>
      <cdr:x>0.01289</cdr:x>
      <cdr:y>0.33926</cdr:y>
    </cdr:from>
    <cdr:to>
      <cdr:x>0.1882</cdr:x>
      <cdr:y>0.38092</cdr:y>
    </cdr:to>
    <cdr:sp macro="" textlink="">
      <cdr:nvSpPr>
        <cdr:cNvPr id="43014" name="Text Box 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15308" y="1628597"/>
          <a:ext cx="1524541" cy="19957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800" b="1" i="0" strike="noStrike">
              <a:solidFill>
                <a:srgbClr val="000000"/>
              </a:solidFill>
              <a:latin typeface="Arial"/>
              <a:cs typeface="Arial"/>
            </a:rPr>
            <a:t>GLANDULAS ENDOCR</a:t>
          </a:r>
        </a:p>
      </cdr:txBody>
    </cdr:sp>
  </cdr:relSizeAnchor>
  <cdr:relSizeAnchor xmlns:cdr="http://schemas.openxmlformats.org/drawingml/2006/chartDrawing">
    <cdr:from>
      <cdr:x>0.00548</cdr:x>
      <cdr:y>0.20547</cdr:y>
    </cdr:from>
    <cdr:to>
      <cdr:x>0.08534</cdr:x>
      <cdr:y>0.2214</cdr:y>
    </cdr:to>
    <cdr:sp macro="" textlink="">
      <cdr:nvSpPr>
        <cdr:cNvPr id="43015" name="Text Box 7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987617"/>
          <a:ext cx="694537" cy="7630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</cdr:sp>
  </cdr:relSizeAnchor>
  <cdr:relSizeAnchor xmlns:cdr="http://schemas.openxmlformats.org/drawingml/2006/chartDrawing">
    <cdr:from>
      <cdr:x>0.01289</cdr:x>
      <cdr:y>0.46594</cdr:y>
    </cdr:from>
    <cdr:to>
      <cdr:x>0.1793</cdr:x>
      <cdr:y>0.5196</cdr:y>
    </cdr:to>
    <cdr:sp macro="" textlink="">
      <cdr:nvSpPr>
        <cdr:cNvPr id="43016" name="Text Box 8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15308" y="2235533"/>
          <a:ext cx="1447131" cy="25709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800" b="1" i="0" strike="noStrike">
              <a:solidFill>
                <a:srgbClr val="000000"/>
              </a:solidFill>
              <a:latin typeface="Arial"/>
              <a:cs typeface="Arial"/>
            </a:rPr>
            <a:t>MAL DEFINIDAS</a:t>
          </a:r>
        </a:p>
      </cdr:txBody>
    </cdr:sp>
  </cdr:relSizeAnchor>
  <cdr:relSizeAnchor xmlns:cdr="http://schemas.openxmlformats.org/drawingml/2006/chartDrawing">
    <cdr:from>
      <cdr:x>0.01289</cdr:x>
      <cdr:y>0.40615</cdr:y>
    </cdr:from>
    <cdr:to>
      <cdr:x>0.20007</cdr:x>
      <cdr:y>0.45393</cdr:y>
    </cdr:to>
    <cdr:sp macro="" textlink="">
      <cdr:nvSpPr>
        <cdr:cNvPr id="43017" name="Text Box 9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15308" y="1949087"/>
          <a:ext cx="1627754" cy="22892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800" b="1" i="0" strike="noStrike">
              <a:solidFill>
                <a:srgbClr val="000000"/>
              </a:solidFill>
              <a:latin typeface="Arial"/>
              <a:cs typeface="Arial"/>
            </a:rPr>
            <a:t>AP. GENITOURINARIO</a:t>
          </a:r>
        </a:p>
      </cdr:txBody>
    </cdr:sp>
  </cdr:relSizeAnchor>
  <cdr:relSizeAnchor xmlns:cdr="http://schemas.openxmlformats.org/drawingml/2006/chartDrawing">
    <cdr:from>
      <cdr:x>0.01289</cdr:x>
      <cdr:y>0.27237</cdr:y>
    </cdr:from>
    <cdr:to>
      <cdr:x>0.20007</cdr:x>
      <cdr:y>0.32015</cdr:y>
    </cdr:to>
    <cdr:sp macro="" textlink="">
      <cdr:nvSpPr>
        <cdr:cNvPr id="43018" name="Text Box 1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15308" y="1308107"/>
          <a:ext cx="1627754" cy="22892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800" b="1" i="0" strike="noStrike">
              <a:solidFill>
                <a:srgbClr val="000000"/>
              </a:solidFill>
              <a:latin typeface="Arial"/>
              <a:cs typeface="Arial"/>
            </a:rPr>
            <a:t>AFEC. PERIODO PER</a:t>
          </a:r>
        </a:p>
      </cdr:txBody>
    </cdr:sp>
  </cdr:relSizeAnchor>
  <cdr:relSizeAnchor xmlns:cdr="http://schemas.openxmlformats.org/drawingml/2006/chartDrawing">
    <cdr:from>
      <cdr:x>0.01388</cdr:x>
      <cdr:y>0.14005</cdr:y>
    </cdr:from>
    <cdr:to>
      <cdr:x>0.12342</cdr:x>
      <cdr:y>0.17975</cdr:y>
    </cdr:to>
    <cdr:sp macro="" textlink="">
      <cdr:nvSpPr>
        <cdr:cNvPr id="43019" name="Text Box 1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3909" y="674171"/>
          <a:ext cx="952569" cy="19018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800" b="1" i="0" strike="noStrike">
              <a:solidFill>
                <a:srgbClr val="000000"/>
              </a:solidFill>
              <a:latin typeface="Arial"/>
              <a:cs typeface="Arial"/>
            </a:rPr>
            <a:t>RESTO</a:t>
          </a:r>
        </a:p>
      </cdr:txBody>
    </cdr:sp>
  </cdr:relSizeAnchor>
  <cdr:relSizeAnchor xmlns:cdr="http://schemas.openxmlformats.org/drawingml/2006/chartDrawing">
    <cdr:from>
      <cdr:x>0.86891</cdr:x>
      <cdr:y>0.85799</cdr:y>
    </cdr:from>
    <cdr:to>
      <cdr:x>0.97845</cdr:x>
      <cdr:y>0.89768</cdr:y>
    </cdr:to>
    <cdr:sp macro="" textlink="">
      <cdr:nvSpPr>
        <cdr:cNvPr id="43020" name="Text Box 1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559538" y="4113863"/>
          <a:ext cx="952570" cy="19018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800" b="1" i="0" strike="noStrike">
              <a:solidFill>
                <a:srgbClr val="000000"/>
              </a:solidFill>
              <a:latin typeface="Arial"/>
              <a:cs typeface="Arial"/>
            </a:rPr>
            <a:t>Porcentaje</a:t>
          </a:r>
        </a:p>
      </cdr:txBody>
    </cdr:sp>
  </cdr:relSizeAnchor>
  <cdr:relSizeAnchor xmlns:cdr="http://schemas.openxmlformats.org/drawingml/2006/chartDrawing">
    <cdr:from>
      <cdr:x>0.01116</cdr:x>
      <cdr:y>0.20547</cdr:y>
    </cdr:from>
    <cdr:to>
      <cdr:x>0.25249</cdr:x>
      <cdr:y>0.24639</cdr:y>
    </cdr:to>
    <cdr:sp macro="" textlink="">
      <cdr:nvSpPr>
        <cdr:cNvPr id="43021" name="Text Box 1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0256" y="987617"/>
          <a:ext cx="2098662" cy="1960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es-ES" sz="800" b="1" i="0" strike="noStrike">
              <a:solidFill>
                <a:srgbClr val="000000"/>
              </a:solidFill>
              <a:latin typeface="Arial"/>
              <a:cs typeface="Arial"/>
            </a:rPr>
            <a:t>ANOMALIAS CONG</a:t>
          </a:r>
        </a:p>
      </cdr:txBody>
    </cdr:sp>
  </cdr:relSizeAnchor>
</c:userShapes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590550</xdr:colOff>
      <xdr:row>42</xdr:row>
      <xdr:rowOff>0</xdr:rowOff>
    </xdr:from>
    <xdr:to>
      <xdr:col>8</xdr:col>
      <xdr:colOff>200025</xdr:colOff>
      <xdr:row>59</xdr:row>
      <xdr:rowOff>0</xdr:rowOff>
    </xdr:to>
    <xdr:graphicFrame macro="">
      <xdr:nvGraphicFramePr>
        <xdr:cNvPr id="6554114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590550</xdr:colOff>
      <xdr:row>42</xdr:row>
      <xdr:rowOff>0</xdr:rowOff>
    </xdr:from>
    <xdr:to>
      <xdr:col>8</xdr:col>
      <xdr:colOff>200025</xdr:colOff>
      <xdr:row>59</xdr:row>
      <xdr:rowOff>0</xdr:rowOff>
    </xdr:to>
    <xdr:graphicFrame macro="">
      <xdr:nvGraphicFramePr>
        <xdr:cNvPr id="6554114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371475</xdr:colOff>
      <xdr:row>101</xdr:row>
      <xdr:rowOff>19050</xdr:rowOff>
    </xdr:from>
    <xdr:to>
      <xdr:col>10</xdr:col>
      <xdr:colOff>114300</xdr:colOff>
      <xdr:row>116</xdr:row>
      <xdr:rowOff>152400</xdr:rowOff>
    </xdr:to>
    <xdr:graphicFrame macro="">
      <xdr:nvGraphicFramePr>
        <xdr:cNvPr id="6554526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371475</xdr:colOff>
      <xdr:row>119</xdr:row>
      <xdr:rowOff>19050</xdr:rowOff>
    </xdr:from>
    <xdr:to>
      <xdr:col>10</xdr:col>
      <xdr:colOff>114300</xdr:colOff>
      <xdr:row>134</xdr:row>
      <xdr:rowOff>152400</xdr:rowOff>
    </xdr:to>
    <xdr:graphicFrame macro="">
      <xdr:nvGraphicFramePr>
        <xdr:cNvPr id="65545268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371475</xdr:colOff>
      <xdr:row>101</xdr:row>
      <xdr:rowOff>19050</xdr:rowOff>
    </xdr:from>
    <xdr:to>
      <xdr:col>10</xdr:col>
      <xdr:colOff>114300</xdr:colOff>
      <xdr:row>116</xdr:row>
      <xdr:rowOff>152400</xdr:rowOff>
    </xdr:to>
    <xdr:graphicFrame macro="">
      <xdr:nvGraphicFramePr>
        <xdr:cNvPr id="65545269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371475</xdr:colOff>
      <xdr:row>119</xdr:row>
      <xdr:rowOff>19050</xdr:rowOff>
    </xdr:from>
    <xdr:to>
      <xdr:col>10</xdr:col>
      <xdr:colOff>114300</xdr:colOff>
      <xdr:row>134</xdr:row>
      <xdr:rowOff>152400</xdr:rowOff>
    </xdr:to>
    <xdr:graphicFrame macro="">
      <xdr:nvGraphicFramePr>
        <xdr:cNvPr id="65545270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533400</xdr:colOff>
      <xdr:row>18</xdr:row>
      <xdr:rowOff>19050</xdr:rowOff>
    </xdr:from>
    <xdr:to>
      <xdr:col>9</xdr:col>
      <xdr:colOff>266700</xdr:colOff>
      <xdr:row>35</xdr:row>
      <xdr:rowOff>133350</xdr:rowOff>
    </xdr:to>
    <xdr:graphicFrame macro="">
      <xdr:nvGraphicFramePr>
        <xdr:cNvPr id="6554933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533400</xdr:colOff>
      <xdr:row>18</xdr:row>
      <xdr:rowOff>19050</xdr:rowOff>
    </xdr:from>
    <xdr:to>
      <xdr:col>9</xdr:col>
      <xdr:colOff>266700</xdr:colOff>
      <xdr:row>35</xdr:row>
      <xdr:rowOff>133350</xdr:rowOff>
    </xdr:to>
    <xdr:graphicFrame macro="">
      <xdr:nvGraphicFramePr>
        <xdr:cNvPr id="65549339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16</xdr:row>
      <xdr:rowOff>38100</xdr:rowOff>
    </xdr:from>
    <xdr:to>
      <xdr:col>19</xdr:col>
      <xdr:colOff>57150</xdr:colOff>
      <xdr:row>34</xdr:row>
      <xdr:rowOff>142875</xdr:rowOff>
    </xdr:to>
    <xdr:graphicFrame macro="">
      <xdr:nvGraphicFramePr>
        <xdr:cNvPr id="6542236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16</xdr:row>
      <xdr:rowOff>38100</xdr:rowOff>
    </xdr:from>
    <xdr:to>
      <xdr:col>19</xdr:col>
      <xdr:colOff>57150</xdr:colOff>
      <xdr:row>34</xdr:row>
      <xdr:rowOff>142875</xdr:rowOff>
    </xdr:to>
    <xdr:graphicFrame macro="">
      <xdr:nvGraphicFramePr>
        <xdr:cNvPr id="65422364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1019175</xdr:colOff>
      <xdr:row>24</xdr:row>
      <xdr:rowOff>28575</xdr:rowOff>
    </xdr:from>
    <xdr:to>
      <xdr:col>5</xdr:col>
      <xdr:colOff>190500</xdr:colOff>
      <xdr:row>35</xdr:row>
      <xdr:rowOff>247650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419100</xdr:colOff>
      <xdr:row>64</xdr:row>
      <xdr:rowOff>0</xdr:rowOff>
    </xdr:from>
    <xdr:to>
      <xdr:col>6</xdr:col>
      <xdr:colOff>628650</xdr:colOff>
      <xdr:row>80</xdr:row>
      <xdr:rowOff>123825</xdr:rowOff>
    </xdr:to>
    <xdr:graphicFrame macro="">
      <xdr:nvGraphicFramePr>
        <xdr:cNvPr id="6557009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419100</xdr:colOff>
      <xdr:row>85</xdr:row>
      <xdr:rowOff>0</xdr:rowOff>
    </xdr:from>
    <xdr:to>
      <xdr:col>6</xdr:col>
      <xdr:colOff>628650</xdr:colOff>
      <xdr:row>101</xdr:row>
      <xdr:rowOff>123825</xdr:rowOff>
    </xdr:to>
    <xdr:graphicFrame macro="">
      <xdr:nvGraphicFramePr>
        <xdr:cNvPr id="65570094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104775</xdr:colOff>
      <xdr:row>136</xdr:row>
      <xdr:rowOff>142875</xdr:rowOff>
    </xdr:from>
    <xdr:to>
      <xdr:col>3</xdr:col>
      <xdr:colOff>152400</xdr:colOff>
      <xdr:row>150</xdr:row>
      <xdr:rowOff>19050</xdr:rowOff>
    </xdr:to>
    <xdr:graphicFrame macro="">
      <xdr:nvGraphicFramePr>
        <xdr:cNvPr id="6557009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</xdr:col>
      <xdr:colOff>361950</xdr:colOff>
      <xdr:row>137</xdr:row>
      <xdr:rowOff>0</xdr:rowOff>
    </xdr:from>
    <xdr:to>
      <xdr:col>7</xdr:col>
      <xdr:colOff>571500</xdr:colOff>
      <xdr:row>150</xdr:row>
      <xdr:rowOff>9525</xdr:rowOff>
    </xdr:to>
    <xdr:graphicFrame macro="">
      <xdr:nvGraphicFramePr>
        <xdr:cNvPr id="65570096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104775</xdr:colOff>
      <xdr:row>153</xdr:row>
      <xdr:rowOff>142875</xdr:rowOff>
    </xdr:from>
    <xdr:to>
      <xdr:col>3</xdr:col>
      <xdr:colOff>152400</xdr:colOff>
      <xdr:row>167</xdr:row>
      <xdr:rowOff>19050</xdr:rowOff>
    </xdr:to>
    <xdr:graphicFrame macro="">
      <xdr:nvGraphicFramePr>
        <xdr:cNvPr id="65570097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</xdr:col>
      <xdr:colOff>361950</xdr:colOff>
      <xdr:row>154</xdr:row>
      <xdr:rowOff>0</xdr:rowOff>
    </xdr:from>
    <xdr:to>
      <xdr:col>7</xdr:col>
      <xdr:colOff>571500</xdr:colOff>
      <xdr:row>167</xdr:row>
      <xdr:rowOff>9525</xdr:rowOff>
    </xdr:to>
    <xdr:graphicFrame macro="">
      <xdr:nvGraphicFramePr>
        <xdr:cNvPr id="65570098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104775</xdr:colOff>
      <xdr:row>209</xdr:row>
      <xdr:rowOff>142875</xdr:rowOff>
    </xdr:from>
    <xdr:to>
      <xdr:col>3</xdr:col>
      <xdr:colOff>152400</xdr:colOff>
      <xdr:row>223</xdr:row>
      <xdr:rowOff>19050</xdr:rowOff>
    </xdr:to>
    <xdr:graphicFrame macro="">
      <xdr:nvGraphicFramePr>
        <xdr:cNvPr id="65570099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</xdr:col>
      <xdr:colOff>361950</xdr:colOff>
      <xdr:row>210</xdr:row>
      <xdr:rowOff>0</xdr:rowOff>
    </xdr:from>
    <xdr:to>
      <xdr:col>7</xdr:col>
      <xdr:colOff>571500</xdr:colOff>
      <xdr:row>223</xdr:row>
      <xdr:rowOff>9525</xdr:rowOff>
    </xdr:to>
    <xdr:graphicFrame macro="">
      <xdr:nvGraphicFramePr>
        <xdr:cNvPr id="65570100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104775</xdr:colOff>
      <xdr:row>226</xdr:row>
      <xdr:rowOff>142875</xdr:rowOff>
    </xdr:from>
    <xdr:to>
      <xdr:col>3</xdr:col>
      <xdr:colOff>152400</xdr:colOff>
      <xdr:row>240</xdr:row>
      <xdr:rowOff>19050</xdr:rowOff>
    </xdr:to>
    <xdr:graphicFrame macro="">
      <xdr:nvGraphicFramePr>
        <xdr:cNvPr id="65570101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3</xdr:col>
      <xdr:colOff>361950</xdr:colOff>
      <xdr:row>227</xdr:row>
      <xdr:rowOff>0</xdr:rowOff>
    </xdr:from>
    <xdr:to>
      <xdr:col>7</xdr:col>
      <xdr:colOff>571500</xdr:colOff>
      <xdr:row>240</xdr:row>
      <xdr:rowOff>9525</xdr:rowOff>
    </xdr:to>
    <xdr:graphicFrame macro="">
      <xdr:nvGraphicFramePr>
        <xdr:cNvPr id="65570102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104775</xdr:colOff>
      <xdr:row>244</xdr:row>
      <xdr:rowOff>142875</xdr:rowOff>
    </xdr:from>
    <xdr:to>
      <xdr:col>3</xdr:col>
      <xdr:colOff>152400</xdr:colOff>
      <xdr:row>258</xdr:row>
      <xdr:rowOff>19050</xdr:rowOff>
    </xdr:to>
    <xdr:graphicFrame macro="">
      <xdr:nvGraphicFramePr>
        <xdr:cNvPr id="65570103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3</xdr:col>
      <xdr:colOff>361950</xdr:colOff>
      <xdr:row>245</xdr:row>
      <xdr:rowOff>0</xdr:rowOff>
    </xdr:from>
    <xdr:to>
      <xdr:col>7</xdr:col>
      <xdr:colOff>571500</xdr:colOff>
      <xdr:row>258</xdr:row>
      <xdr:rowOff>9525</xdr:rowOff>
    </xdr:to>
    <xdr:graphicFrame macro="">
      <xdr:nvGraphicFramePr>
        <xdr:cNvPr id="65570104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0</xdr:col>
      <xdr:colOff>419100</xdr:colOff>
      <xdr:row>64</xdr:row>
      <xdr:rowOff>0</xdr:rowOff>
    </xdr:from>
    <xdr:to>
      <xdr:col>6</xdr:col>
      <xdr:colOff>628650</xdr:colOff>
      <xdr:row>80</xdr:row>
      <xdr:rowOff>123825</xdr:rowOff>
    </xdr:to>
    <xdr:graphicFrame macro="">
      <xdr:nvGraphicFramePr>
        <xdr:cNvPr id="6557010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0</xdr:col>
      <xdr:colOff>419100</xdr:colOff>
      <xdr:row>85</xdr:row>
      <xdr:rowOff>0</xdr:rowOff>
    </xdr:from>
    <xdr:to>
      <xdr:col>6</xdr:col>
      <xdr:colOff>628650</xdr:colOff>
      <xdr:row>101</xdr:row>
      <xdr:rowOff>123825</xdr:rowOff>
    </xdr:to>
    <xdr:graphicFrame macro="">
      <xdr:nvGraphicFramePr>
        <xdr:cNvPr id="65570106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0</xdr:col>
      <xdr:colOff>104775</xdr:colOff>
      <xdr:row>136</xdr:row>
      <xdr:rowOff>142875</xdr:rowOff>
    </xdr:from>
    <xdr:to>
      <xdr:col>3</xdr:col>
      <xdr:colOff>152400</xdr:colOff>
      <xdr:row>150</xdr:row>
      <xdr:rowOff>19050</xdr:rowOff>
    </xdr:to>
    <xdr:graphicFrame macro="">
      <xdr:nvGraphicFramePr>
        <xdr:cNvPr id="65570107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3</xdr:col>
      <xdr:colOff>361950</xdr:colOff>
      <xdr:row>137</xdr:row>
      <xdr:rowOff>0</xdr:rowOff>
    </xdr:from>
    <xdr:to>
      <xdr:col>7</xdr:col>
      <xdr:colOff>571500</xdr:colOff>
      <xdr:row>150</xdr:row>
      <xdr:rowOff>9525</xdr:rowOff>
    </xdr:to>
    <xdr:graphicFrame macro="">
      <xdr:nvGraphicFramePr>
        <xdr:cNvPr id="65570108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104775</xdr:colOff>
      <xdr:row>153</xdr:row>
      <xdr:rowOff>142875</xdr:rowOff>
    </xdr:from>
    <xdr:to>
      <xdr:col>3</xdr:col>
      <xdr:colOff>152400</xdr:colOff>
      <xdr:row>167</xdr:row>
      <xdr:rowOff>19050</xdr:rowOff>
    </xdr:to>
    <xdr:graphicFrame macro="">
      <xdr:nvGraphicFramePr>
        <xdr:cNvPr id="65570109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3</xdr:col>
      <xdr:colOff>361950</xdr:colOff>
      <xdr:row>154</xdr:row>
      <xdr:rowOff>0</xdr:rowOff>
    </xdr:from>
    <xdr:to>
      <xdr:col>7</xdr:col>
      <xdr:colOff>571500</xdr:colOff>
      <xdr:row>167</xdr:row>
      <xdr:rowOff>9525</xdr:rowOff>
    </xdr:to>
    <xdr:graphicFrame macro="">
      <xdr:nvGraphicFramePr>
        <xdr:cNvPr id="65570110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0</xdr:col>
      <xdr:colOff>104775</xdr:colOff>
      <xdr:row>209</xdr:row>
      <xdr:rowOff>142875</xdr:rowOff>
    </xdr:from>
    <xdr:to>
      <xdr:col>3</xdr:col>
      <xdr:colOff>152400</xdr:colOff>
      <xdr:row>223</xdr:row>
      <xdr:rowOff>19050</xdr:rowOff>
    </xdr:to>
    <xdr:graphicFrame macro="">
      <xdr:nvGraphicFramePr>
        <xdr:cNvPr id="65570111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3</xdr:col>
      <xdr:colOff>361950</xdr:colOff>
      <xdr:row>210</xdr:row>
      <xdr:rowOff>0</xdr:rowOff>
    </xdr:from>
    <xdr:to>
      <xdr:col>7</xdr:col>
      <xdr:colOff>571500</xdr:colOff>
      <xdr:row>223</xdr:row>
      <xdr:rowOff>9525</xdr:rowOff>
    </xdr:to>
    <xdr:graphicFrame macro="">
      <xdr:nvGraphicFramePr>
        <xdr:cNvPr id="65570112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104775</xdr:colOff>
      <xdr:row>226</xdr:row>
      <xdr:rowOff>142875</xdr:rowOff>
    </xdr:from>
    <xdr:to>
      <xdr:col>3</xdr:col>
      <xdr:colOff>152400</xdr:colOff>
      <xdr:row>240</xdr:row>
      <xdr:rowOff>19050</xdr:rowOff>
    </xdr:to>
    <xdr:graphicFrame macro="">
      <xdr:nvGraphicFramePr>
        <xdr:cNvPr id="65570113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3</xdr:col>
      <xdr:colOff>361950</xdr:colOff>
      <xdr:row>227</xdr:row>
      <xdr:rowOff>0</xdr:rowOff>
    </xdr:from>
    <xdr:to>
      <xdr:col>7</xdr:col>
      <xdr:colOff>571500</xdr:colOff>
      <xdr:row>240</xdr:row>
      <xdr:rowOff>9525</xdr:rowOff>
    </xdr:to>
    <xdr:graphicFrame macro="">
      <xdr:nvGraphicFramePr>
        <xdr:cNvPr id="65570114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0</xdr:col>
      <xdr:colOff>104775</xdr:colOff>
      <xdr:row>244</xdr:row>
      <xdr:rowOff>142875</xdr:rowOff>
    </xdr:from>
    <xdr:to>
      <xdr:col>3</xdr:col>
      <xdr:colOff>152400</xdr:colOff>
      <xdr:row>258</xdr:row>
      <xdr:rowOff>19050</xdr:rowOff>
    </xdr:to>
    <xdr:graphicFrame macro="">
      <xdr:nvGraphicFramePr>
        <xdr:cNvPr id="65570115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3</xdr:col>
      <xdr:colOff>361950</xdr:colOff>
      <xdr:row>245</xdr:row>
      <xdr:rowOff>0</xdr:rowOff>
    </xdr:from>
    <xdr:to>
      <xdr:col>7</xdr:col>
      <xdr:colOff>571500</xdr:colOff>
      <xdr:row>258</xdr:row>
      <xdr:rowOff>9525</xdr:rowOff>
    </xdr:to>
    <xdr:graphicFrame macro="">
      <xdr:nvGraphicFramePr>
        <xdr:cNvPr id="65570116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36</xdr:row>
      <xdr:rowOff>9525</xdr:rowOff>
    </xdr:from>
    <xdr:to>
      <xdr:col>5</xdr:col>
      <xdr:colOff>781050</xdr:colOff>
      <xdr:row>51</xdr:row>
      <xdr:rowOff>95250</xdr:rowOff>
    </xdr:to>
    <xdr:graphicFrame macro="">
      <xdr:nvGraphicFramePr>
        <xdr:cNvPr id="6558415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600075</xdr:colOff>
      <xdr:row>84</xdr:row>
      <xdr:rowOff>142875</xdr:rowOff>
    </xdr:from>
    <xdr:to>
      <xdr:col>7</xdr:col>
      <xdr:colOff>123825</xdr:colOff>
      <xdr:row>102</xdr:row>
      <xdr:rowOff>152400</xdr:rowOff>
    </xdr:to>
    <xdr:graphicFrame macro="">
      <xdr:nvGraphicFramePr>
        <xdr:cNvPr id="6558827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714375</xdr:colOff>
      <xdr:row>87</xdr:row>
      <xdr:rowOff>95250</xdr:rowOff>
    </xdr:from>
    <xdr:to>
      <xdr:col>1</xdr:col>
      <xdr:colOff>9525</xdr:colOff>
      <xdr:row>88</xdr:row>
      <xdr:rowOff>95250</xdr:rowOff>
    </xdr:to>
    <xdr:sp macro="" textlink="">
      <xdr:nvSpPr>
        <xdr:cNvPr id="59394" name="Rectangle 2"/>
        <xdr:cNvSpPr>
          <a:spLocks noChangeArrowheads="1"/>
        </xdr:cNvSpPr>
      </xdr:nvSpPr>
      <xdr:spPr bwMode="auto">
        <a:xfrm>
          <a:off x="714375" y="17011650"/>
          <a:ext cx="209550" cy="1619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36576" tIns="22860" rIns="0" bIns="0" anchor="t" upright="1"/>
        <a:lstStyle/>
        <a:p>
          <a:pPr algn="l" rtl="1">
            <a:defRPr sz="1000"/>
          </a:pPr>
          <a:r>
            <a:rPr lang="es-ES" sz="1200" b="0" i="0" strike="noStrike">
              <a:solidFill>
                <a:srgbClr val="000000"/>
              </a:solidFill>
              <a:latin typeface="Arial"/>
              <a:cs typeface="Arial"/>
            </a:rPr>
            <a:t>%</a:t>
          </a:r>
        </a:p>
      </xdr:txBody>
    </xdr:sp>
    <xdr:clientData/>
  </xdr:twoCellAnchor>
  <xdr:twoCellAnchor>
    <xdr:from>
      <xdr:col>0</xdr:col>
      <xdr:colOff>600075</xdr:colOff>
      <xdr:row>84</xdr:row>
      <xdr:rowOff>142875</xdr:rowOff>
    </xdr:from>
    <xdr:to>
      <xdr:col>7</xdr:col>
      <xdr:colOff>123825</xdr:colOff>
      <xdr:row>102</xdr:row>
      <xdr:rowOff>152400</xdr:rowOff>
    </xdr:to>
    <xdr:graphicFrame macro="">
      <xdr:nvGraphicFramePr>
        <xdr:cNvPr id="6558827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714375</xdr:colOff>
      <xdr:row>87</xdr:row>
      <xdr:rowOff>95250</xdr:rowOff>
    </xdr:from>
    <xdr:to>
      <xdr:col>1</xdr:col>
      <xdr:colOff>9525</xdr:colOff>
      <xdr:row>88</xdr:row>
      <xdr:rowOff>95250</xdr:rowOff>
    </xdr:to>
    <xdr:sp macro="" textlink="">
      <xdr:nvSpPr>
        <xdr:cNvPr id="2" name="Rectangle 2"/>
        <xdr:cNvSpPr>
          <a:spLocks noChangeArrowheads="1"/>
        </xdr:cNvSpPr>
      </xdr:nvSpPr>
      <xdr:spPr bwMode="auto">
        <a:xfrm>
          <a:off x="714375" y="17011650"/>
          <a:ext cx="209550" cy="1619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36576" tIns="22860" rIns="0" bIns="0" anchor="t" upright="1"/>
        <a:lstStyle/>
        <a:p>
          <a:pPr algn="l" rtl="1">
            <a:defRPr sz="1000"/>
          </a:pPr>
          <a:r>
            <a:rPr lang="es-ES" sz="1200" b="0" i="0" strike="noStrike">
              <a:solidFill>
                <a:srgbClr val="000000"/>
              </a:solidFill>
              <a:latin typeface="Arial"/>
              <a:cs typeface="Arial"/>
            </a:rPr>
            <a:t>%</a:t>
          </a:r>
        </a:p>
      </xdr:txBody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415925</xdr:colOff>
      <xdr:row>54</xdr:row>
      <xdr:rowOff>66675</xdr:rowOff>
    </xdr:from>
    <xdr:to>
      <xdr:col>10</xdr:col>
      <xdr:colOff>282575</xdr:colOff>
      <xdr:row>74</xdr:row>
      <xdr:rowOff>88900</xdr:rowOff>
    </xdr:to>
    <xdr:graphicFrame macro="">
      <xdr:nvGraphicFramePr>
        <xdr:cNvPr id="65590299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0.01678</cdr:x>
      <cdr:y>0.05824</cdr:y>
    </cdr:from>
    <cdr:to>
      <cdr:x>0.05743</cdr:x>
      <cdr:y>0.15232</cdr:y>
    </cdr:to>
    <cdr:sp macro="" textlink="">
      <cdr:nvSpPr>
        <cdr:cNvPr id="1638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790" y="126881"/>
          <a:ext cx="190528" cy="19983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18288" bIns="22860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s-ES" sz="1000" b="0" i="0" strike="noStrike">
              <a:solidFill>
                <a:srgbClr val="000000"/>
              </a:solidFill>
              <a:latin typeface="Arial"/>
              <a:cs typeface="Arial"/>
            </a:rPr>
            <a:t>%</a:t>
          </a:r>
        </a:p>
      </cdr:txBody>
    </cdr: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15</xdr:row>
      <xdr:rowOff>9525</xdr:rowOff>
    </xdr:from>
    <xdr:to>
      <xdr:col>12</xdr:col>
      <xdr:colOff>219075</xdr:colOff>
      <xdr:row>39</xdr:row>
      <xdr:rowOff>152400</xdr:rowOff>
    </xdr:to>
    <xdr:graphicFrame macro="">
      <xdr:nvGraphicFramePr>
        <xdr:cNvPr id="6559337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15</xdr:row>
      <xdr:rowOff>9525</xdr:rowOff>
    </xdr:from>
    <xdr:to>
      <xdr:col>12</xdr:col>
      <xdr:colOff>219075</xdr:colOff>
      <xdr:row>39</xdr:row>
      <xdr:rowOff>152400</xdr:rowOff>
    </xdr:to>
    <xdr:graphicFrame macro="">
      <xdr:nvGraphicFramePr>
        <xdr:cNvPr id="6559337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0.22317</cdr:x>
      <cdr:y>0.66433</cdr:y>
    </cdr:from>
    <cdr:to>
      <cdr:x>0.23426</cdr:x>
      <cdr:y>0.71316</cdr:y>
    </cdr:to>
    <cdr:sp macro="" textlink="">
      <cdr:nvSpPr>
        <cdr:cNvPr id="6451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27268" y="2717769"/>
          <a:ext cx="75759" cy="19954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</cdr:sp>
  </cdr:relSizeAnchor>
  <cdr:relSizeAnchor xmlns:cdr="http://schemas.openxmlformats.org/drawingml/2006/chartDrawing">
    <cdr:from>
      <cdr:x>0.25398</cdr:x>
      <cdr:y>0.73563</cdr:y>
    </cdr:from>
    <cdr:to>
      <cdr:x>0.26507</cdr:x>
      <cdr:y>0.78446</cdr:y>
    </cdr:to>
    <cdr:sp macro="" textlink="">
      <cdr:nvSpPr>
        <cdr:cNvPr id="64514" name="Texto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37711" y="3009110"/>
          <a:ext cx="75759" cy="19954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</cdr:sp>
  </cdr:relSizeAnchor>
  <cdr:relSizeAnchor xmlns:cdr="http://schemas.openxmlformats.org/drawingml/2006/chartDrawing">
    <cdr:from>
      <cdr:x>0.3018</cdr:x>
      <cdr:y>0.76151</cdr:y>
    </cdr:from>
    <cdr:to>
      <cdr:x>0.3129</cdr:x>
      <cdr:y>0.81034</cdr:y>
    </cdr:to>
    <cdr:sp macro="" textlink="">
      <cdr:nvSpPr>
        <cdr:cNvPr id="64515" name="Texto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064318" y="3114871"/>
          <a:ext cx="75760" cy="19954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</cdr:sp>
  </cdr:relSizeAnchor>
  <cdr:relSizeAnchor xmlns:cdr="http://schemas.openxmlformats.org/drawingml/2006/chartDrawing">
    <cdr:from>
      <cdr:x>0.30624</cdr:x>
      <cdr:y>0.71292</cdr:y>
    </cdr:from>
    <cdr:to>
      <cdr:x>0.31733</cdr:x>
      <cdr:y>0.76175</cdr:y>
    </cdr:to>
    <cdr:sp macro="" textlink="">
      <cdr:nvSpPr>
        <cdr:cNvPr id="64516" name="Texto 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094622" y="2916320"/>
          <a:ext cx="75760" cy="19954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</cdr:sp>
  </cdr:relSizeAnchor>
  <cdr:relSizeAnchor xmlns:cdr="http://schemas.openxmlformats.org/drawingml/2006/chartDrawing">
    <cdr:from>
      <cdr:x>0.06688</cdr:x>
      <cdr:y>0.53028</cdr:y>
    </cdr:from>
    <cdr:to>
      <cdr:x>0.07797</cdr:x>
      <cdr:y>0.57447</cdr:y>
    </cdr:to>
    <cdr:sp macro="" textlink="">
      <cdr:nvSpPr>
        <cdr:cNvPr id="64517" name="Texto 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59901" y="2170008"/>
          <a:ext cx="75760" cy="18059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0.22317</cdr:x>
      <cdr:y>0.66433</cdr:y>
    </cdr:from>
    <cdr:to>
      <cdr:x>0.23426</cdr:x>
      <cdr:y>0.71316</cdr:y>
    </cdr:to>
    <cdr:sp macro="" textlink="">
      <cdr:nvSpPr>
        <cdr:cNvPr id="6451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27268" y="2717769"/>
          <a:ext cx="75759" cy="19954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</cdr:sp>
  </cdr:relSizeAnchor>
  <cdr:relSizeAnchor xmlns:cdr="http://schemas.openxmlformats.org/drawingml/2006/chartDrawing">
    <cdr:from>
      <cdr:x>0.25398</cdr:x>
      <cdr:y>0.73563</cdr:y>
    </cdr:from>
    <cdr:to>
      <cdr:x>0.26507</cdr:x>
      <cdr:y>0.78446</cdr:y>
    </cdr:to>
    <cdr:sp macro="" textlink="">
      <cdr:nvSpPr>
        <cdr:cNvPr id="64514" name="Texto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37711" y="3009110"/>
          <a:ext cx="75759" cy="19954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</cdr:sp>
  </cdr:relSizeAnchor>
  <cdr:relSizeAnchor xmlns:cdr="http://schemas.openxmlformats.org/drawingml/2006/chartDrawing">
    <cdr:from>
      <cdr:x>0.3018</cdr:x>
      <cdr:y>0.76151</cdr:y>
    </cdr:from>
    <cdr:to>
      <cdr:x>0.3129</cdr:x>
      <cdr:y>0.81034</cdr:y>
    </cdr:to>
    <cdr:sp macro="" textlink="">
      <cdr:nvSpPr>
        <cdr:cNvPr id="64515" name="Texto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064318" y="3114871"/>
          <a:ext cx="75760" cy="19954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</cdr:sp>
  </cdr:relSizeAnchor>
  <cdr:relSizeAnchor xmlns:cdr="http://schemas.openxmlformats.org/drawingml/2006/chartDrawing">
    <cdr:from>
      <cdr:x>0.30624</cdr:x>
      <cdr:y>0.71292</cdr:y>
    </cdr:from>
    <cdr:to>
      <cdr:x>0.31733</cdr:x>
      <cdr:y>0.76175</cdr:y>
    </cdr:to>
    <cdr:sp macro="" textlink="">
      <cdr:nvSpPr>
        <cdr:cNvPr id="64516" name="Texto 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094622" y="2916320"/>
          <a:ext cx="75760" cy="19954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</cdr:sp>
  </cdr:relSizeAnchor>
  <cdr:relSizeAnchor xmlns:cdr="http://schemas.openxmlformats.org/drawingml/2006/chartDrawing">
    <cdr:from>
      <cdr:x>0.06688</cdr:x>
      <cdr:y>0.53028</cdr:y>
    </cdr:from>
    <cdr:to>
      <cdr:x>0.07797</cdr:x>
      <cdr:y>0.57447</cdr:y>
    </cdr:to>
    <cdr:sp macro="" textlink="">
      <cdr:nvSpPr>
        <cdr:cNvPr id="64517" name="Texto 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59901" y="2170008"/>
          <a:ext cx="75760" cy="18059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</cdr:sp>
  </cdr:relSizeAnchor>
</c:userShapes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19</xdr:row>
      <xdr:rowOff>19050</xdr:rowOff>
    </xdr:from>
    <xdr:to>
      <xdr:col>6</xdr:col>
      <xdr:colOff>409575</xdr:colOff>
      <xdr:row>33</xdr:row>
      <xdr:rowOff>152400</xdr:rowOff>
    </xdr:to>
    <xdr:graphicFrame macro="">
      <xdr:nvGraphicFramePr>
        <xdr:cNvPr id="6559749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95250</xdr:colOff>
      <xdr:row>37</xdr:row>
      <xdr:rowOff>19050</xdr:rowOff>
    </xdr:from>
    <xdr:to>
      <xdr:col>6</xdr:col>
      <xdr:colOff>390525</xdr:colOff>
      <xdr:row>58</xdr:row>
      <xdr:rowOff>38100</xdr:rowOff>
    </xdr:to>
    <xdr:graphicFrame macro="">
      <xdr:nvGraphicFramePr>
        <xdr:cNvPr id="6559749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28575</xdr:colOff>
      <xdr:row>19</xdr:row>
      <xdr:rowOff>19050</xdr:rowOff>
    </xdr:from>
    <xdr:to>
      <xdr:col>6</xdr:col>
      <xdr:colOff>409575</xdr:colOff>
      <xdr:row>33</xdr:row>
      <xdr:rowOff>152400</xdr:rowOff>
    </xdr:to>
    <xdr:graphicFrame macro="">
      <xdr:nvGraphicFramePr>
        <xdr:cNvPr id="6559749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95250</xdr:colOff>
      <xdr:row>37</xdr:row>
      <xdr:rowOff>19050</xdr:rowOff>
    </xdr:from>
    <xdr:to>
      <xdr:col>6</xdr:col>
      <xdr:colOff>390525</xdr:colOff>
      <xdr:row>58</xdr:row>
      <xdr:rowOff>38100</xdr:rowOff>
    </xdr:to>
    <xdr:graphicFrame macro="">
      <xdr:nvGraphicFramePr>
        <xdr:cNvPr id="65597494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752475</xdr:colOff>
      <xdr:row>53</xdr:row>
      <xdr:rowOff>114300</xdr:rowOff>
    </xdr:from>
    <xdr:to>
      <xdr:col>8</xdr:col>
      <xdr:colOff>47625</xdr:colOff>
      <xdr:row>75</xdr:row>
      <xdr:rowOff>66675</xdr:rowOff>
    </xdr:to>
    <xdr:graphicFrame macro="">
      <xdr:nvGraphicFramePr>
        <xdr:cNvPr id="6560261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771525</xdr:colOff>
      <xdr:row>27</xdr:row>
      <xdr:rowOff>9525</xdr:rowOff>
    </xdr:from>
    <xdr:to>
      <xdr:col>8</xdr:col>
      <xdr:colOff>0</xdr:colOff>
      <xdr:row>48</xdr:row>
      <xdr:rowOff>0</xdr:rowOff>
    </xdr:to>
    <xdr:graphicFrame macro="">
      <xdr:nvGraphicFramePr>
        <xdr:cNvPr id="6560261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752475</xdr:colOff>
      <xdr:row>53</xdr:row>
      <xdr:rowOff>114300</xdr:rowOff>
    </xdr:from>
    <xdr:to>
      <xdr:col>8</xdr:col>
      <xdr:colOff>47625</xdr:colOff>
      <xdr:row>75</xdr:row>
      <xdr:rowOff>66675</xdr:rowOff>
    </xdr:to>
    <xdr:graphicFrame macro="">
      <xdr:nvGraphicFramePr>
        <xdr:cNvPr id="6560261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771525</xdr:colOff>
      <xdr:row>26</xdr:row>
      <xdr:rowOff>127000</xdr:rowOff>
    </xdr:from>
    <xdr:to>
      <xdr:col>8</xdr:col>
      <xdr:colOff>0</xdr:colOff>
      <xdr:row>48</xdr:row>
      <xdr:rowOff>1</xdr:rowOff>
    </xdr:to>
    <xdr:graphicFrame macro="">
      <xdr:nvGraphicFramePr>
        <xdr:cNvPr id="65602614" name="Chart 197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23</xdr:row>
      <xdr:rowOff>0</xdr:rowOff>
    </xdr:from>
    <xdr:to>
      <xdr:col>8</xdr:col>
      <xdr:colOff>104775</xdr:colOff>
      <xdr:row>36</xdr:row>
      <xdr:rowOff>152400</xdr:rowOff>
    </xdr:to>
    <xdr:graphicFrame macro="">
      <xdr:nvGraphicFramePr>
        <xdr:cNvPr id="6037701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41</xdr:row>
      <xdr:rowOff>0</xdr:rowOff>
    </xdr:from>
    <xdr:to>
      <xdr:col>8</xdr:col>
      <xdr:colOff>104775</xdr:colOff>
      <xdr:row>55</xdr:row>
      <xdr:rowOff>0</xdr:rowOff>
    </xdr:to>
    <xdr:graphicFrame macro="">
      <xdr:nvGraphicFramePr>
        <xdr:cNvPr id="60377018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oneCellAnchor>
    <xdr:from>
      <xdr:col>6</xdr:col>
      <xdr:colOff>142875</xdr:colOff>
      <xdr:row>46</xdr:row>
      <xdr:rowOff>142875</xdr:rowOff>
    </xdr:from>
    <xdr:ext cx="609600" cy="180975"/>
    <xdr:sp macro="" textlink="">
      <xdr:nvSpPr>
        <xdr:cNvPr id="71683" name="Texto 6"/>
        <xdr:cNvSpPr txBox="1">
          <a:spLocks noChangeArrowheads="1"/>
        </xdr:cNvSpPr>
      </xdr:nvSpPr>
      <xdr:spPr bwMode="auto">
        <a:xfrm>
          <a:off x="3629025" y="8239125"/>
          <a:ext cx="647700" cy="1809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wrap="none" lIns="18288" tIns="22860" rIns="18288" bIns="22860" anchor="ctr" upright="1">
          <a:spAutoFit/>
        </a:bodyPr>
        <a:lstStyle/>
        <a:p>
          <a:pPr algn="ctr" rtl="0">
            <a:defRPr sz="1000"/>
          </a:pPr>
          <a:r>
            <a:rPr lang="es-ES" sz="800" b="1" i="0" strike="noStrike">
              <a:solidFill>
                <a:srgbClr val="000080"/>
              </a:solidFill>
              <a:latin typeface="Arial"/>
              <a:cs typeface="Arial"/>
            </a:rPr>
            <a:t>ELECTIVAS</a:t>
          </a:r>
        </a:p>
      </xdr:txBody>
    </xdr:sp>
    <xdr:clientData/>
  </xdr:oneCellAnchor>
  <xdr:oneCellAnchor>
    <xdr:from>
      <xdr:col>6</xdr:col>
      <xdr:colOff>171450</xdr:colOff>
      <xdr:row>26</xdr:row>
      <xdr:rowOff>76200</xdr:rowOff>
    </xdr:from>
    <xdr:ext cx="609600" cy="180975"/>
    <xdr:sp macro="" textlink="">
      <xdr:nvSpPr>
        <xdr:cNvPr id="71684" name="Texto 7"/>
        <xdr:cNvSpPr txBox="1">
          <a:spLocks noChangeArrowheads="1"/>
        </xdr:cNvSpPr>
      </xdr:nvSpPr>
      <xdr:spPr bwMode="auto">
        <a:xfrm>
          <a:off x="3657600" y="4933950"/>
          <a:ext cx="647700" cy="1809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wrap="none" lIns="18288" tIns="22860" rIns="18288" bIns="22860" anchor="ctr" upright="1">
          <a:spAutoFit/>
        </a:bodyPr>
        <a:lstStyle/>
        <a:p>
          <a:pPr algn="ctr" rtl="0">
            <a:defRPr sz="1000"/>
          </a:pPr>
          <a:r>
            <a:rPr lang="es-ES" sz="800" b="1" i="0" strike="noStrike">
              <a:solidFill>
                <a:srgbClr val="000080"/>
              </a:solidFill>
              <a:latin typeface="Arial"/>
              <a:cs typeface="Arial"/>
            </a:rPr>
            <a:t>ELECTIVAS</a:t>
          </a:r>
        </a:p>
      </xdr:txBody>
    </xdr:sp>
    <xdr:clientData/>
  </xdr:oneCellAnchor>
  <xdr:oneCellAnchor>
    <xdr:from>
      <xdr:col>5</xdr:col>
      <xdr:colOff>495300</xdr:colOff>
      <xdr:row>51</xdr:row>
      <xdr:rowOff>0</xdr:rowOff>
    </xdr:from>
    <xdr:ext cx="619125" cy="180975"/>
    <xdr:sp macro="" textlink="">
      <xdr:nvSpPr>
        <xdr:cNvPr id="71685" name="Texto 8"/>
        <xdr:cNvSpPr txBox="1">
          <a:spLocks noChangeArrowheads="1"/>
        </xdr:cNvSpPr>
      </xdr:nvSpPr>
      <xdr:spPr bwMode="auto">
        <a:xfrm>
          <a:off x="3381375" y="8905875"/>
          <a:ext cx="657225" cy="1809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wrap="none" lIns="18288" tIns="22860" rIns="18288" bIns="22860" anchor="ctr" upright="1">
          <a:spAutoFit/>
        </a:bodyPr>
        <a:lstStyle/>
        <a:p>
          <a:pPr algn="ctr" rtl="0">
            <a:defRPr sz="1000"/>
          </a:pPr>
          <a:r>
            <a:rPr lang="es-ES" sz="800" b="1" i="0" strike="noStrike">
              <a:solidFill>
                <a:srgbClr val="FF0000"/>
              </a:solidFill>
              <a:latin typeface="Arial"/>
              <a:cs typeface="Arial"/>
            </a:rPr>
            <a:t>URGENCIAS</a:t>
          </a:r>
        </a:p>
      </xdr:txBody>
    </xdr:sp>
    <xdr:clientData/>
  </xdr:oneCellAnchor>
  <xdr:oneCellAnchor>
    <xdr:from>
      <xdr:col>5</xdr:col>
      <xdr:colOff>257175</xdr:colOff>
      <xdr:row>31</xdr:row>
      <xdr:rowOff>28575</xdr:rowOff>
    </xdr:from>
    <xdr:ext cx="619125" cy="180975"/>
    <xdr:sp macro="" textlink="">
      <xdr:nvSpPr>
        <xdr:cNvPr id="71686" name="Texto 9"/>
        <xdr:cNvSpPr txBox="1">
          <a:spLocks noChangeArrowheads="1"/>
        </xdr:cNvSpPr>
      </xdr:nvSpPr>
      <xdr:spPr bwMode="auto">
        <a:xfrm>
          <a:off x="3143250" y="5695950"/>
          <a:ext cx="657225" cy="1809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wrap="none" lIns="18288" tIns="22860" rIns="18288" bIns="22860" anchor="ctr" upright="1">
          <a:spAutoFit/>
        </a:bodyPr>
        <a:lstStyle/>
        <a:p>
          <a:pPr algn="ctr" rtl="0">
            <a:defRPr sz="1000"/>
          </a:pPr>
          <a:r>
            <a:rPr lang="es-ES" sz="800" b="1" i="0" strike="noStrike">
              <a:solidFill>
                <a:srgbClr val="FF0000"/>
              </a:solidFill>
              <a:latin typeface="Arial"/>
              <a:cs typeface="Arial"/>
            </a:rPr>
            <a:t>URGENCIAS</a:t>
          </a:r>
        </a:p>
      </xdr:txBody>
    </xdr:sp>
    <xdr:clientData/>
  </xdr:oneCellAnchor>
  <xdr:twoCellAnchor>
    <xdr:from>
      <xdr:col>1</xdr:col>
      <xdr:colOff>381000</xdr:colOff>
      <xdr:row>67</xdr:row>
      <xdr:rowOff>9525</xdr:rowOff>
    </xdr:from>
    <xdr:to>
      <xdr:col>8</xdr:col>
      <xdr:colOff>485775</xdr:colOff>
      <xdr:row>81</xdr:row>
      <xdr:rowOff>9525</xdr:rowOff>
    </xdr:to>
    <xdr:graphicFrame macro="">
      <xdr:nvGraphicFramePr>
        <xdr:cNvPr id="60377023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oneCellAnchor>
    <xdr:from>
      <xdr:col>6</xdr:col>
      <xdr:colOff>504825</xdr:colOff>
      <xdr:row>73</xdr:row>
      <xdr:rowOff>19050</xdr:rowOff>
    </xdr:from>
    <xdr:ext cx="609600" cy="180975"/>
    <xdr:sp macro="" textlink="">
      <xdr:nvSpPr>
        <xdr:cNvPr id="71688" name="Texto 6"/>
        <xdr:cNvSpPr txBox="1">
          <a:spLocks noChangeArrowheads="1"/>
        </xdr:cNvSpPr>
      </xdr:nvSpPr>
      <xdr:spPr bwMode="auto">
        <a:xfrm>
          <a:off x="3990975" y="12487275"/>
          <a:ext cx="647700" cy="1809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wrap="none" lIns="18288" tIns="22860" rIns="18288" bIns="22860" anchor="ctr" upright="1">
          <a:spAutoFit/>
        </a:bodyPr>
        <a:lstStyle/>
        <a:p>
          <a:pPr algn="ctr" rtl="0">
            <a:defRPr sz="1000"/>
          </a:pPr>
          <a:r>
            <a:rPr lang="es-ES" sz="800" b="1" i="0" strike="noStrike">
              <a:solidFill>
                <a:srgbClr val="000080"/>
              </a:solidFill>
              <a:latin typeface="Arial"/>
              <a:cs typeface="Arial"/>
            </a:rPr>
            <a:t>ELECTIVAS</a:t>
          </a:r>
        </a:p>
      </xdr:txBody>
    </xdr:sp>
    <xdr:clientData/>
  </xdr:oneCellAnchor>
  <xdr:oneCellAnchor>
    <xdr:from>
      <xdr:col>4</xdr:col>
      <xdr:colOff>495300</xdr:colOff>
      <xdr:row>75</xdr:row>
      <xdr:rowOff>85725</xdr:rowOff>
    </xdr:from>
    <xdr:ext cx="619125" cy="180975"/>
    <xdr:sp macro="" textlink="">
      <xdr:nvSpPr>
        <xdr:cNvPr id="71689" name="Texto 8"/>
        <xdr:cNvSpPr txBox="1">
          <a:spLocks noChangeArrowheads="1"/>
        </xdr:cNvSpPr>
      </xdr:nvSpPr>
      <xdr:spPr bwMode="auto">
        <a:xfrm>
          <a:off x="2781300" y="12877800"/>
          <a:ext cx="657225" cy="1809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wrap="none" lIns="18288" tIns="22860" rIns="18288" bIns="22860" anchor="ctr" upright="1">
          <a:spAutoFit/>
        </a:bodyPr>
        <a:lstStyle/>
        <a:p>
          <a:pPr algn="ctr" rtl="0">
            <a:defRPr sz="1000"/>
          </a:pPr>
          <a:r>
            <a:rPr lang="es-ES" sz="800" b="1" i="0" strike="noStrike">
              <a:solidFill>
                <a:srgbClr val="FF0000"/>
              </a:solidFill>
              <a:latin typeface="Arial"/>
              <a:cs typeface="Arial"/>
            </a:rPr>
            <a:t>URGENCIAS</a:t>
          </a:r>
        </a:p>
      </xdr:txBody>
    </xdr:sp>
    <xdr:clientData/>
  </xdr:oneCellAnchor>
  <xdr:twoCellAnchor>
    <xdr:from>
      <xdr:col>1</xdr:col>
      <xdr:colOff>400050</xdr:colOff>
      <xdr:row>85</xdr:row>
      <xdr:rowOff>0</xdr:rowOff>
    </xdr:from>
    <xdr:to>
      <xdr:col>8</xdr:col>
      <xdr:colOff>504825</xdr:colOff>
      <xdr:row>99</xdr:row>
      <xdr:rowOff>0</xdr:rowOff>
    </xdr:to>
    <xdr:graphicFrame macro="">
      <xdr:nvGraphicFramePr>
        <xdr:cNvPr id="60377026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6</xdr:col>
      <xdr:colOff>542925</xdr:colOff>
      <xdr:row>91</xdr:row>
      <xdr:rowOff>28575</xdr:rowOff>
    </xdr:from>
    <xdr:ext cx="609600" cy="180975"/>
    <xdr:sp macro="" textlink="">
      <xdr:nvSpPr>
        <xdr:cNvPr id="71691" name="Texto 6"/>
        <xdr:cNvSpPr txBox="1">
          <a:spLocks noChangeArrowheads="1"/>
        </xdr:cNvSpPr>
      </xdr:nvSpPr>
      <xdr:spPr bwMode="auto">
        <a:xfrm>
          <a:off x="4029075" y="15411450"/>
          <a:ext cx="647700" cy="1809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wrap="none" lIns="18288" tIns="22860" rIns="18288" bIns="22860" anchor="ctr" upright="1">
          <a:spAutoFit/>
        </a:bodyPr>
        <a:lstStyle/>
        <a:p>
          <a:pPr algn="ctr" rtl="0">
            <a:defRPr sz="1000"/>
          </a:pPr>
          <a:r>
            <a:rPr lang="es-ES" sz="800" b="1" i="0" strike="noStrike">
              <a:solidFill>
                <a:srgbClr val="000080"/>
              </a:solidFill>
              <a:latin typeface="Arial"/>
              <a:cs typeface="Arial"/>
            </a:rPr>
            <a:t>ELECTIVAS</a:t>
          </a:r>
        </a:p>
      </xdr:txBody>
    </xdr:sp>
    <xdr:clientData/>
  </xdr:oneCellAnchor>
  <xdr:oneCellAnchor>
    <xdr:from>
      <xdr:col>5</xdr:col>
      <xdr:colOff>495300</xdr:colOff>
      <xdr:row>93</xdr:row>
      <xdr:rowOff>114300</xdr:rowOff>
    </xdr:from>
    <xdr:ext cx="619125" cy="180975"/>
    <xdr:sp macro="" textlink="">
      <xdr:nvSpPr>
        <xdr:cNvPr id="71692" name="Texto 8"/>
        <xdr:cNvSpPr txBox="1">
          <a:spLocks noChangeArrowheads="1"/>
        </xdr:cNvSpPr>
      </xdr:nvSpPr>
      <xdr:spPr bwMode="auto">
        <a:xfrm>
          <a:off x="3381375" y="15821025"/>
          <a:ext cx="657225" cy="1809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wrap="none" lIns="18288" tIns="22860" rIns="18288" bIns="22860" anchor="ctr" upright="1">
          <a:spAutoFit/>
        </a:bodyPr>
        <a:lstStyle/>
        <a:p>
          <a:pPr algn="ctr" rtl="0">
            <a:defRPr sz="1000"/>
          </a:pPr>
          <a:r>
            <a:rPr lang="es-ES" sz="800" b="1" i="0" strike="noStrike">
              <a:solidFill>
                <a:srgbClr val="FF0000"/>
              </a:solidFill>
              <a:latin typeface="Arial"/>
              <a:cs typeface="Arial"/>
            </a:rPr>
            <a:t>URGENCIAS</a:t>
          </a:r>
        </a:p>
      </xdr:txBody>
    </xdr:sp>
    <xdr:clientData/>
  </xdr:one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342900</xdr:colOff>
      <xdr:row>24</xdr:row>
      <xdr:rowOff>19050</xdr:rowOff>
    </xdr:from>
    <xdr:to>
      <xdr:col>11</xdr:col>
      <xdr:colOff>9525</xdr:colOff>
      <xdr:row>39</xdr:row>
      <xdr:rowOff>19050</xdr:rowOff>
    </xdr:to>
    <xdr:graphicFrame macro="">
      <xdr:nvGraphicFramePr>
        <xdr:cNvPr id="32773109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342900</xdr:colOff>
      <xdr:row>44</xdr:row>
      <xdr:rowOff>19050</xdr:rowOff>
    </xdr:from>
    <xdr:to>
      <xdr:col>11</xdr:col>
      <xdr:colOff>9525</xdr:colOff>
      <xdr:row>59</xdr:row>
      <xdr:rowOff>19050</xdr:rowOff>
    </xdr:to>
    <xdr:graphicFrame macro="">
      <xdr:nvGraphicFramePr>
        <xdr:cNvPr id="32773110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0.01073</cdr:x>
      <cdr:y>0.14469</cdr:y>
    </cdr:from>
    <cdr:to>
      <cdr:x>0.07507</cdr:x>
      <cdr:y>0.20331</cdr:y>
    </cdr:to>
    <cdr:sp macro="" textlink="">
      <cdr:nvSpPr>
        <cdr:cNvPr id="7782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355995"/>
          <a:ext cx="285579" cy="14293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18288" bIns="18288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s-ES" sz="600" b="0" i="0" strike="noStrike">
              <a:solidFill>
                <a:srgbClr val="000000"/>
              </a:solidFill>
              <a:latin typeface="Arial"/>
              <a:cs typeface="Arial"/>
            </a:rPr>
            <a:t>TASA</a:t>
          </a: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0.01342</cdr:x>
      <cdr:y>0.14469</cdr:y>
    </cdr:from>
    <cdr:to>
      <cdr:x>0.07776</cdr:x>
      <cdr:y>0.20331</cdr:y>
    </cdr:to>
    <cdr:sp macro="" textlink="">
      <cdr:nvSpPr>
        <cdr:cNvPr id="7884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2744" y="355995"/>
          <a:ext cx="285579" cy="14293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18288" bIns="18288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s-ES" sz="600" b="0" i="0" strike="noStrike">
              <a:solidFill>
                <a:srgbClr val="000000"/>
              </a:solidFill>
              <a:latin typeface="Arial"/>
              <a:cs typeface="Arial"/>
            </a:rPr>
            <a:t>TASA</a:t>
          </a:r>
        </a:p>
      </cdr:txBody>
    </cdr:sp>
  </cdr:relSizeAnchor>
</c:userShapes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523875</xdr:colOff>
      <xdr:row>22</xdr:row>
      <xdr:rowOff>19050</xdr:rowOff>
    </xdr:from>
    <xdr:to>
      <xdr:col>8</xdr:col>
      <xdr:colOff>95250</xdr:colOff>
      <xdr:row>40</xdr:row>
      <xdr:rowOff>9525</xdr:rowOff>
    </xdr:to>
    <xdr:graphicFrame macro="">
      <xdr:nvGraphicFramePr>
        <xdr:cNvPr id="3277618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552450</xdr:colOff>
      <xdr:row>47</xdr:row>
      <xdr:rowOff>0</xdr:rowOff>
    </xdr:from>
    <xdr:to>
      <xdr:col>8</xdr:col>
      <xdr:colOff>0</xdr:colOff>
      <xdr:row>64</xdr:row>
      <xdr:rowOff>114300</xdr:rowOff>
    </xdr:to>
    <xdr:graphicFrame macro="">
      <xdr:nvGraphicFramePr>
        <xdr:cNvPr id="3277618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63</xdr:row>
      <xdr:rowOff>9525</xdr:rowOff>
    </xdr:from>
    <xdr:to>
      <xdr:col>5</xdr:col>
      <xdr:colOff>628650</xdr:colOff>
      <xdr:row>113</xdr:row>
      <xdr:rowOff>28575</xdr:rowOff>
    </xdr:to>
    <xdr:graphicFrame macro="">
      <xdr:nvGraphicFramePr>
        <xdr:cNvPr id="6549199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62</xdr:row>
      <xdr:rowOff>152400</xdr:rowOff>
    </xdr:from>
    <xdr:to>
      <xdr:col>5</xdr:col>
      <xdr:colOff>600075</xdr:colOff>
      <xdr:row>113</xdr:row>
      <xdr:rowOff>9525</xdr:rowOff>
    </xdr:to>
    <xdr:graphicFrame macro="">
      <xdr:nvGraphicFramePr>
        <xdr:cNvPr id="6549199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523875</xdr:colOff>
      <xdr:row>22</xdr:row>
      <xdr:rowOff>19050</xdr:rowOff>
    </xdr:from>
    <xdr:to>
      <xdr:col>8</xdr:col>
      <xdr:colOff>0</xdr:colOff>
      <xdr:row>40</xdr:row>
      <xdr:rowOff>9525</xdr:rowOff>
    </xdr:to>
    <xdr:graphicFrame macro="">
      <xdr:nvGraphicFramePr>
        <xdr:cNvPr id="3277925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552450</xdr:colOff>
      <xdr:row>47</xdr:row>
      <xdr:rowOff>0</xdr:rowOff>
    </xdr:from>
    <xdr:to>
      <xdr:col>8</xdr:col>
      <xdr:colOff>0</xdr:colOff>
      <xdr:row>64</xdr:row>
      <xdr:rowOff>114300</xdr:rowOff>
    </xdr:to>
    <xdr:graphicFrame macro="">
      <xdr:nvGraphicFramePr>
        <xdr:cNvPr id="32779254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523875</xdr:colOff>
      <xdr:row>22</xdr:row>
      <xdr:rowOff>19050</xdr:rowOff>
    </xdr:from>
    <xdr:to>
      <xdr:col>8</xdr:col>
      <xdr:colOff>0</xdr:colOff>
      <xdr:row>40</xdr:row>
      <xdr:rowOff>9525</xdr:rowOff>
    </xdr:to>
    <xdr:graphicFrame macro="">
      <xdr:nvGraphicFramePr>
        <xdr:cNvPr id="3278232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552450</xdr:colOff>
      <xdr:row>47</xdr:row>
      <xdr:rowOff>0</xdr:rowOff>
    </xdr:from>
    <xdr:to>
      <xdr:col>8</xdr:col>
      <xdr:colOff>0</xdr:colOff>
      <xdr:row>64</xdr:row>
      <xdr:rowOff>114300</xdr:rowOff>
    </xdr:to>
    <xdr:graphicFrame macro="">
      <xdr:nvGraphicFramePr>
        <xdr:cNvPr id="32782326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523875</xdr:colOff>
      <xdr:row>22</xdr:row>
      <xdr:rowOff>19050</xdr:rowOff>
    </xdr:from>
    <xdr:to>
      <xdr:col>8</xdr:col>
      <xdr:colOff>0</xdr:colOff>
      <xdr:row>40</xdr:row>
      <xdr:rowOff>9525</xdr:rowOff>
    </xdr:to>
    <xdr:graphicFrame macro="">
      <xdr:nvGraphicFramePr>
        <xdr:cNvPr id="3278539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552450</xdr:colOff>
      <xdr:row>47</xdr:row>
      <xdr:rowOff>0</xdr:rowOff>
    </xdr:from>
    <xdr:to>
      <xdr:col>8</xdr:col>
      <xdr:colOff>0</xdr:colOff>
      <xdr:row>64</xdr:row>
      <xdr:rowOff>114300</xdr:rowOff>
    </xdr:to>
    <xdr:graphicFrame macro="">
      <xdr:nvGraphicFramePr>
        <xdr:cNvPr id="32785398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523875</xdr:colOff>
      <xdr:row>22</xdr:row>
      <xdr:rowOff>19050</xdr:rowOff>
    </xdr:from>
    <xdr:to>
      <xdr:col>8</xdr:col>
      <xdr:colOff>0</xdr:colOff>
      <xdr:row>40</xdr:row>
      <xdr:rowOff>9525</xdr:rowOff>
    </xdr:to>
    <xdr:graphicFrame macro="">
      <xdr:nvGraphicFramePr>
        <xdr:cNvPr id="32788469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552450</xdr:colOff>
      <xdr:row>47</xdr:row>
      <xdr:rowOff>0</xdr:rowOff>
    </xdr:from>
    <xdr:to>
      <xdr:col>8</xdr:col>
      <xdr:colOff>0</xdr:colOff>
      <xdr:row>64</xdr:row>
      <xdr:rowOff>114300</xdr:rowOff>
    </xdr:to>
    <xdr:graphicFrame macro="">
      <xdr:nvGraphicFramePr>
        <xdr:cNvPr id="32788470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523875</xdr:colOff>
      <xdr:row>22</xdr:row>
      <xdr:rowOff>19050</xdr:rowOff>
    </xdr:from>
    <xdr:to>
      <xdr:col>8</xdr:col>
      <xdr:colOff>0</xdr:colOff>
      <xdr:row>40</xdr:row>
      <xdr:rowOff>9525</xdr:rowOff>
    </xdr:to>
    <xdr:graphicFrame macro="">
      <xdr:nvGraphicFramePr>
        <xdr:cNvPr id="3279154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552450</xdr:colOff>
      <xdr:row>47</xdr:row>
      <xdr:rowOff>0</xdr:rowOff>
    </xdr:from>
    <xdr:to>
      <xdr:col>8</xdr:col>
      <xdr:colOff>0</xdr:colOff>
      <xdr:row>64</xdr:row>
      <xdr:rowOff>114300</xdr:rowOff>
    </xdr:to>
    <xdr:graphicFrame macro="">
      <xdr:nvGraphicFramePr>
        <xdr:cNvPr id="3279154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0.04576</cdr:x>
      <cdr:y>0.14496</cdr:y>
    </cdr:from>
    <cdr:to>
      <cdr:x>0.16244</cdr:x>
      <cdr:y>0.17807</cdr:y>
    </cdr:to>
    <cdr:sp macro="" textlink="">
      <cdr:nvSpPr>
        <cdr:cNvPr id="819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05396" y="1180963"/>
          <a:ext cx="515678" cy="26899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1">
            <a:defRPr sz="1000"/>
          </a:pPr>
          <a:r>
            <a:rPr lang="es-ES" sz="1200" b="1" i="0" strike="noStrike">
              <a:solidFill>
                <a:srgbClr val="000000"/>
              </a:solidFill>
              <a:latin typeface="Arial"/>
              <a:cs typeface="Arial"/>
            </a:rPr>
            <a:t>2013</a:t>
          </a:r>
        </a:p>
      </cdr:txBody>
    </cdr:sp>
  </cdr:relSizeAnchor>
  <cdr:relSizeAnchor xmlns:cdr="http://schemas.openxmlformats.org/drawingml/2006/chartDrawing">
    <cdr:from>
      <cdr:x>0.04576</cdr:x>
      <cdr:y>0.5924</cdr:y>
    </cdr:from>
    <cdr:to>
      <cdr:x>0.16341</cdr:x>
      <cdr:y>0.62452</cdr:y>
    </cdr:to>
    <cdr:sp macro="" textlink="">
      <cdr:nvSpPr>
        <cdr:cNvPr id="8194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05396" y="4816353"/>
          <a:ext cx="520003" cy="2609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1">
            <a:defRPr sz="1000"/>
          </a:pPr>
          <a:r>
            <a:rPr lang="es-ES" sz="1200" b="1" i="0" strike="noStrike">
              <a:solidFill>
                <a:srgbClr val="000000"/>
              </a:solidFill>
              <a:latin typeface="Arial"/>
              <a:cs typeface="Arial"/>
            </a:rPr>
            <a:t>1990</a:t>
          </a:r>
        </a:p>
      </cdr:txBody>
    </cdr:sp>
  </cdr:relSizeAnchor>
  <cdr:relSizeAnchor xmlns:cdr="http://schemas.openxmlformats.org/drawingml/2006/chartDrawing">
    <cdr:from>
      <cdr:x>0.02374</cdr:x>
      <cdr:y>0.95807</cdr:y>
    </cdr:from>
    <cdr:to>
      <cdr:x>0.21503</cdr:x>
      <cdr:y>0.98796</cdr:y>
    </cdr:to>
    <cdr:sp macro="" textlink="">
      <cdr:nvSpPr>
        <cdr:cNvPr id="8195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8098" y="7787296"/>
          <a:ext cx="845410" cy="24289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27432" bIns="0" anchor="t" upright="1"/>
        <a:lstStyle xmlns:a="http://schemas.openxmlformats.org/drawingml/2006/main"/>
        <a:p xmlns:a="http://schemas.openxmlformats.org/drawingml/2006/main">
          <a:pPr algn="ctr" rtl="1">
            <a:defRPr sz="1000"/>
          </a:pPr>
          <a:r>
            <a:rPr lang="es-ES" sz="950" b="1" i="0" strike="noStrike">
              <a:solidFill>
                <a:srgbClr val="000000"/>
              </a:solidFill>
              <a:latin typeface="Arial"/>
              <a:cs typeface="Arial"/>
            </a:rPr>
            <a:t>Fuente :  INE</a:t>
          </a:r>
        </a:p>
      </cdr:txBody>
    </cdr:sp>
  </cdr:relSizeAnchor>
  <cdr:relSizeAnchor xmlns:cdr="http://schemas.openxmlformats.org/drawingml/2006/chartDrawing">
    <cdr:from>
      <cdr:x>0.16439</cdr:x>
      <cdr:y>0.51309</cdr:y>
    </cdr:from>
    <cdr:to>
      <cdr:x>0.31091</cdr:x>
      <cdr:y>0.63614</cdr:y>
    </cdr:to>
    <cdr:pic>
      <cdr:nvPicPr>
        <cdr:cNvPr id="8196" name="Picture 4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729723" y="4171979"/>
          <a:ext cx="647571" cy="999682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0.73948</cdr:x>
      <cdr:y>0.51309</cdr:y>
    </cdr:from>
    <cdr:to>
      <cdr:x>0.89676</cdr:x>
      <cdr:y>0.63614</cdr:y>
    </cdr:to>
    <cdr:pic>
      <cdr:nvPicPr>
        <cdr:cNvPr id="8197" name="Picture 5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2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3271360" y="4171979"/>
          <a:ext cx="695139" cy="999682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0.04576</cdr:x>
      <cdr:y>0.14496</cdr:y>
    </cdr:from>
    <cdr:to>
      <cdr:x>0.16244</cdr:x>
      <cdr:y>0.17807</cdr:y>
    </cdr:to>
    <cdr:sp macro="" textlink="">
      <cdr:nvSpPr>
        <cdr:cNvPr id="819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05396" y="1180963"/>
          <a:ext cx="515678" cy="26899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1">
            <a:defRPr sz="1000"/>
          </a:pPr>
          <a:r>
            <a:rPr lang="es-ES" sz="1200" b="1" i="0" strike="noStrike">
              <a:solidFill>
                <a:srgbClr val="000000"/>
              </a:solidFill>
              <a:latin typeface="Arial"/>
              <a:cs typeface="Arial"/>
            </a:rPr>
            <a:t>2014</a:t>
          </a:r>
        </a:p>
      </cdr:txBody>
    </cdr:sp>
  </cdr:relSizeAnchor>
  <cdr:relSizeAnchor xmlns:cdr="http://schemas.openxmlformats.org/drawingml/2006/chartDrawing">
    <cdr:from>
      <cdr:x>0.04576</cdr:x>
      <cdr:y>0.5924</cdr:y>
    </cdr:from>
    <cdr:to>
      <cdr:x>0.16341</cdr:x>
      <cdr:y>0.62452</cdr:y>
    </cdr:to>
    <cdr:sp macro="" textlink="">
      <cdr:nvSpPr>
        <cdr:cNvPr id="8194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05396" y="4816353"/>
          <a:ext cx="520003" cy="2609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1">
            <a:defRPr sz="1000"/>
          </a:pPr>
          <a:r>
            <a:rPr lang="es-ES" sz="1200" b="1" i="0" strike="noStrike">
              <a:solidFill>
                <a:srgbClr val="000000"/>
              </a:solidFill>
              <a:latin typeface="Arial"/>
              <a:cs typeface="Arial"/>
            </a:rPr>
            <a:t>1990</a:t>
          </a:r>
        </a:p>
      </cdr:txBody>
    </cdr:sp>
  </cdr:relSizeAnchor>
  <cdr:relSizeAnchor xmlns:cdr="http://schemas.openxmlformats.org/drawingml/2006/chartDrawing">
    <cdr:from>
      <cdr:x>0.02374</cdr:x>
      <cdr:y>0.95807</cdr:y>
    </cdr:from>
    <cdr:to>
      <cdr:x>0.21503</cdr:x>
      <cdr:y>1</cdr:y>
    </cdr:to>
    <cdr:sp macro="" textlink="">
      <cdr:nvSpPr>
        <cdr:cNvPr id="8195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4695" y="7775025"/>
          <a:ext cx="843603" cy="34027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27432" bIns="0" anchor="t" upright="1"/>
        <a:lstStyle xmlns:a="http://schemas.openxmlformats.org/drawingml/2006/main"/>
        <a:p xmlns:a="http://schemas.openxmlformats.org/drawingml/2006/main">
          <a:pPr algn="ctr" rtl="1">
            <a:defRPr sz="1000"/>
          </a:pPr>
          <a:r>
            <a:rPr lang="es-ES" sz="800" b="1" i="0" strike="noStrike">
              <a:solidFill>
                <a:srgbClr val="000000"/>
              </a:solidFill>
              <a:latin typeface="Arial"/>
              <a:cs typeface="Arial"/>
            </a:rPr>
            <a:t>Fuente :  INE censo</a:t>
          </a:r>
          <a:r>
            <a:rPr lang="es-ES" sz="800" b="1" i="0" strike="noStrike" baseline="0">
              <a:solidFill>
                <a:srgbClr val="000000"/>
              </a:solidFill>
              <a:latin typeface="Arial"/>
              <a:cs typeface="Arial"/>
            </a:rPr>
            <a:t> 2002</a:t>
          </a:r>
          <a:endParaRPr lang="es-ES" sz="800" b="1" i="0" strike="noStrike">
            <a:solidFill>
              <a:srgbClr val="00000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0.16439</cdr:x>
      <cdr:y>0.51309</cdr:y>
    </cdr:from>
    <cdr:to>
      <cdr:x>0.31091</cdr:x>
      <cdr:y>0.63614</cdr:y>
    </cdr:to>
    <cdr:pic>
      <cdr:nvPicPr>
        <cdr:cNvPr id="8196" name="Picture 4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729723" y="4171979"/>
          <a:ext cx="647571" cy="999682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0.73948</cdr:x>
      <cdr:y>0.51309</cdr:y>
    </cdr:from>
    <cdr:to>
      <cdr:x>0.89676</cdr:x>
      <cdr:y>0.63614</cdr:y>
    </cdr:to>
    <cdr:pic>
      <cdr:nvPicPr>
        <cdr:cNvPr id="8197" name="Picture 5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2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3271360" y="4171979"/>
          <a:ext cx="695139" cy="999682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381000</xdr:colOff>
      <xdr:row>28</xdr:row>
      <xdr:rowOff>0</xdr:rowOff>
    </xdr:from>
    <xdr:to>
      <xdr:col>10</xdr:col>
      <xdr:colOff>447675</xdr:colOff>
      <xdr:row>49</xdr:row>
      <xdr:rowOff>9525</xdr:rowOff>
    </xdr:to>
    <xdr:graphicFrame macro="">
      <xdr:nvGraphicFramePr>
        <xdr:cNvPr id="6549506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381000</xdr:colOff>
      <xdr:row>28</xdr:row>
      <xdr:rowOff>0</xdr:rowOff>
    </xdr:from>
    <xdr:to>
      <xdr:col>10</xdr:col>
      <xdr:colOff>447675</xdr:colOff>
      <xdr:row>49</xdr:row>
      <xdr:rowOff>9525</xdr:rowOff>
    </xdr:to>
    <xdr:graphicFrame macro="">
      <xdr:nvGraphicFramePr>
        <xdr:cNvPr id="6549506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676275</xdr:colOff>
      <xdr:row>37</xdr:row>
      <xdr:rowOff>152400</xdr:rowOff>
    </xdr:from>
    <xdr:to>
      <xdr:col>6</xdr:col>
      <xdr:colOff>304800</xdr:colOff>
      <xdr:row>50</xdr:row>
      <xdr:rowOff>152400</xdr:rowOff>
    </xdr:to>
    <xdr:graphicFrame macro="">
      <xdr:nvGraphicFramePr>
        <xdr:cNvPr id="6549918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685800</xdr:colOff>
      <xdr:row>22</xdr:row>
      <xdr:rowOff>19050</xdr:rowOff>
    </xdr:from>
    <xdr:to>
      <xdr:col>6</xdr:col>
      <xdr:colOff>285750</xdr:colOff>
      <xdr:row>35</xdr:row>
      <xdr:rowOff>19050</xdr:rowOff>
    </xdr:to>
    <xdr:graphicFrame macro="">
      <xdr:nvGraphicFramePr>
        <xdr:cNvPr id="65499188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676275</xdr:colOff>
      <xdr:row>37</xdr:row>
      <xdr:rowOff>152400</xdr:rowOff>
    </xdr:from>
    <xdr:to>
      <xdr:col>6</xdr:col>
      <xdr:colOff>304800</xdr:colOff>
      <xdr:row>50</xdr:row>
      <xdr:rowOff>152400</xdr:rowOff>
    </xdr:to>
    <xdr:graphicFrame macro="">
      <xdr:nvGraphicFramePr>
        <xdr:cNvPr id="65499189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685800</xdr:colOff>
      <xdr:row>22</xdr:row>
      <xdr:rowOff>19050</xdr:rowOff>
    </xdr:from>
    <xdr:to>
      <xdr:col>6</xdr:col>
      <xdr:colOff>285750</xdr:colOff>
      <xdr:row>35</xdr:row>
      <xdr:rowOff>19050</xdr:rowOff>
    </xdr:to>
    <xdr:graphicFrame macro="">
      <xdr:nvGraphicFramePr>
        <xdr:cNvPr id="65499190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Poblacion/POB_SSALUD_COMU_1990_2005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Rem2014/Cons/A/108306Acon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Rem2014/Cons/A/108302Acon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Rem2014/Cons/A/108700Acon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Rem2014/Cons/A/108401Acon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Rem2014/Cons/A/108308Acon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Rem2014/Cons/A/108405Acon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/Rem2014/Cons/A/108301Acon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Rem2014/Cons/A/108305Acon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Rem2014/Cons/A/108312Acon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Rem2014/Cons/A/108712Acon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respaldo/Poblacion/POB_SS_COMUNA_2005_2020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/Rem2014/Cons/A/108310Acon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/Rem2014/Cons/A/108304Acon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/Rem2014/Cons/A/108406Acon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/Rem2014/Cons/A/108309Acon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/Rem2014/Cons/A/108709Acon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/Rem2014/Cons/A/108409Acon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/Rem2014/Cons/A/108300Acon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/Rem2014/Cons/A/108303Acon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/Rem2014/Cons/A/108703Acon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/Rem2014/PPV/108100PPV_2014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naci2014.xlsx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/Rem2014/PPV/108101PPV_2014.xlsx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/Rem2014/PPV/108102PPV_2014.xlsx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/Rem2014/PPV/108104PPV_2014.xlsx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/Rem2014/PPV/108105PPV_2014.xlsx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/Rem2014/Cons/D/08010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/Rem/Rem2013/Con13/D/08010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/Rem2015/Cons/A/108310Acon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/Rem2014/Cons/A/108311Acon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Rem2014/Cons/A/cons-consultas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Rem2014/INTERCONSULTAS2014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Rem2014/Cons/A/108000Acon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Rem2014/Cons/A/108307Acon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Rem2014/Cons/A/108707Acon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Rem2014/Cons/A/108404Acon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n"/>
      <sheetName val="1990"/>
      <sheetName val="1991"/>
      <sheetName val="1992"/>
      <sheetName val="1993"/>
      <sheetName val="1994"/>
      <sheetName val="1995"/>
      <sheetName val="1996"/>
      <sheetName val="1997"/>
      <sheetName val="1998"/>
      <sheetName val="1999"/>
      <sheetName val="2000"/>
      <sheetName val="2001"/>
      <sheetName val="2002"/>
      <sheetName val="2003"/>
      <sheetName val="2004"/>
      <sheetName val="2005"/>
      <sheetName val="Hoja1"/>
      <sheetName val="2006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contro"/>
      <sheetName val="MACR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11">
          <cell r="D11">
            <v>4985</v>
          </cell>
        </row>
        <row r="12">
          <cell r="D12">
            <v>6285</v>
          </cell>
        </row>
        <row r="15">
          <cell r="D15">
            <v>449</v>
          </cell>
        </row>
        <row r="16">
          <cell r="D16">
            <v>588</v>
          </cell>
        </row>
        <row r="37">
          <cell r="E37">
            <v>272</v>
          </cell>
          <cell r="F37">
            <v>172</v>
          </cell>
          <cell r="G37">
            <v>192</v>
          </cell>
          <cell r="H37">
            <v>186</v>
          </cell>
          <cell r="I37">
            <v>842</v>
          </cell>
          <cell r="J37">
            <v>524</v>
          </cell>
          <cell r="K37">
            <v>1758</v>
          </cell>
          <cell r="L37">
            <v>333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contro"/>
      <sheetName val="MACR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11">
          <cell r="D11">
            <v>1323</v>
          </cell>
        </row>
        <row r="12">
          <cell r="D12">
            <v>3918</v>
          </cell>
        </row>
        <row r="15">
          <cell r="D15">
            <v>450</v>
          </cell>
        </row>
        <row r="16">
          <cell r="D16">
            <v>3210</v>
          </cell>
        </row>
        <row r="37">
          <cell r="E37">
            <v>42</v>
          </cell>
          <cell r="F37">
            <v>100</v>
          </cell>
          <cell r="G37">
            <v>265</v>
          </cell>
          <cell r="H37">
            <v>161</v>
          </cell>
          <cell r="I37">
            <v>388</v>
          </cell>
          <cell r="J37">
            <v>909</v>
          </cell>
          <cell r="K37">
            <v>1115</v>
          </cell>
          <cell r="L37">
            <v>298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contro"/>
      <sheetName val="MACR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11">
          <cell r="D11">
            <v>281</v>
          </cell>
        </row>
        <row r="12">
          <cell r="D12">
            <v>1020</v>
          </cell>
        </row>
        <row r="15">
          <cell r="D15">
            <v>67</v>
          </cell>
        </row>
        <row r="16">
          <cell r="D16">
            <v>596</v>
          </cell>
        </row>
        <row r="37">
          <cell r="E37">
            <v>37</v>
          </cell>
          <cell r="F37">
            <v>41</v>
          </cell>
          <cell r="G37">
            <v>69</v>
          </cell>
          <cell r="H37">
            <v>69</v>
          </cell>
          <cell r="I37">
            <v>168</v>
          </cell>
          <cell r="J37">
            <v>156</v>
          </cell>
          <cell r="K37">
            <v>421</v>
          </cell>
          <cell r="L37">
            <v>110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contro"/>
      <sheetName val="MACR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11">
          <cell r="D11">
            <v>0</v>
          </cell>
        </row>
        <row r="12">
          <cell r="D12">
            <v>0</v>
          </cell>
        </row>
        <row r="15">
          <cell r="D15">
            <v>0</v>
          </cell>
        </row>
        <row r="16">
          <cell r="D16">
            <v>0</v>
          </cell>
        </row>
        <row r="37"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contro"/>
      <sheetName val="MACR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11">
          <cell r="D11">
            <v>287</v>
          </cell>
        </row>
        <row r="12">
          <cell r="D12">
            <v>2746</v>
          </cell>
        </row>
        <row r="15">
          <cell r="D15">
            <v>46</v>
          </cell>
        </row>
        <row r="16">
          <cell r="D16">
            <v>1796</v>
          </cell>
        </row>
        <row r="37">
          <cell r="E37">
            <v>201</v>
          </cell>
          <cell r="F37">
            <v>198</v>
          </cell>
          <cell r="G37">
            <v>218</v>
          </cell>
          <cell r="H37">
            <v>171</v>
          </cell>
          <cell r="I37">
            <v>357</v>
          </cell>
          <cell r="J37">
            <v>469</v>
          </cell>
          <cell r="K37">
            <v>1097</v>
          </cell>
          <cell r="L37">
            <v>287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contro"/>
      <sheetName val="MACR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11">
          <cell r="D11">
            <v>155</v>
          </cell>
        </row>
        <row r="12">
          <cell r="D12">
            <v>101</v>
          </cell>
        </row>
        <row r="15">
          <cell r="D15">
            <v>4</v>
          </cell>
        </row>
        <row r="16">
          <cell r="D16">
            <v>210</v>
          </cell>
        </row>
        <row r="37">
          <cell r="E37">
            <v>6</v>
          </cell>
          <cell r="F37">
            <v>5</v>
          </cell>
          <cell r="G37">
            <v>7</v>
          </cell>
          <cell r="H37">
            <v>14</v>
          </cell>
          <cell r="I37">
            <v>17</v>
          </cell>
          <cell r="J37">
            <v>82</v>
          </cell>
          <cell r="K37">
            <v>150</v>
          </cell>
          <cell r="L37">
            <v>23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contro"/>
      <sheetName val="MACR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11">
          <cell r="D11">
            <v>731</v>
          </cell>
        </row>
        <row r="12">
          <cell r="D12">
            <v>4851</v>
          </cell>
        </row>
        <row r="15">
          <cell r="D15">
            <v>342</v>
          </cell>
        </row>
        <row r="16">
          <cell r="D16">
            <v>2847</v>
          </cell>
        </row>
        <row r="37">
          <cell r="E37">
            <v>42</v>
          </cell>
          <cell r="F37">
            <v>183</v>
          </cell>
          <cell r="G37">
            <v>670</v>
          </cell>
          <cell r="H37">
            <v>351</v>
          </cell>
          <cell r="I37">
            <v>509</v>
          </cell>
          <cell r="J37">
            <v>1221</v>
          </cell>
          <cell r="K37">
            <v>1852</v>
          </cell>
          <cell r="L37">
            <v>393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contro"/>
      <sheetName val="MACR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11">
          <cell r="D11">
            <v>4870</v>
          </cell>
        </row>
        <row r="12">
          <cell r="D12">
            <v>9128</v>
          </cell>
        </row>
        <row r="15">
          <cell r="D15">
            <v>102</v>
          </cell>
        </row>
        <row r="16">
          <cell r="D16">
            <v>1291</v>
          </cell>
        </row>
        <row r="37">
          <cell r="E37">
            <v>468</v>
          </cell>
          <cell r="F37">
            <v>287</v>
          </cell>
          <cell r="G37">
            <v>477</v>
          </cell>
          <cell r="H37">
            <v>386</v>
          </cell>
          <cell r="I37">
            <v>870</v>
          </cell>
          <cell r="J37">
            <v>817</v>
          </cell>
          <cell r="K37">
            <v>3923</v>
          </cell>
          <cell r="L37">
            <v>1283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contro"/>
      <sheetName val="MACR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11">
          <cell r="D11">
            <v>4947</v>
          </cell>
        </row>
        <row r="12">
          <cell r="D12">
            <v>10359</v>
          </cell>
        </row>
        <row r="15">
          <cell r="D15">
            <v>387</v>
          </cell>
        </row>
        <row r="16">
          <cell r="D16">
            <v>2768</v>
          </cell>
        </row>
        <row r="37">
          <cell r="E37">
            <v>683</v>
          </cell>
          <cell r="F37">
            <v>716</v>
          </cell>
          <cell r="G37">
            <v>1104</v>
          </cell>
          <cell r="H37">
            <v>859</v>
          </cell>
          <cell r="I37">
            <v>1498</v>
          </cell>
          <cell r="J37">
            <v>3067</v>
          </cell>
          <cell r="K37">
            <v>7052</v>
          </cell>
          <cell r="L37">
            <v>674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contro"/>
      <sheetName val="MACR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11">
          <cell r="D11">
            <v>511</v>
          </cell>
        </row>
        <row r="12">
          <cell r="D12">
            <v>619</v>
          </cell>
        </row>
        <row r="15">
          <cell r="D15">
            <v>64</v>
          </cell>
        </row>
        <row r="16">
          <cell r="D16">
            <v>409</v>
          </cell>
        </row>
        <row r="37">
          <cell r="E37">
            <v>48</v>
          </cell>
          <cell r="F37">
            <v>48</v>
          </cell>
          <cell r="G37">
            <v>93</v>
          </cell>
          <cell r="H37">
            <v>93</v>
          </cell>
          <cell r="I37">
            <v>198</v>
          </cell>
          <cell r="J37">
            <v>277</v>
          </cell>
          <cell r="K37">
            <v>686</v>
          </cell>
          <cell r="L37">
            <v>172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N"/>
      <sheetName val="2005"/>
      <sheetName val="2006"/>
      <sheetName val="2007"/>
      <sheetName val="2008"/>
      <sheetName val="2009"/>
      <sheetName val="2010"/>
      <sheetName val="2011"/>
      <sheetName val="2012"/>
      <sheetName val="2013"/>
      <sheetName val="2014"/>
      <sheetName val="2015"/>
      <sheetName val="2016"/>
      <sheetName val="2017"/>
      <sheetName val="2018"/>
      <sheetName val="2019"/>
      <sheetName val="2020"/>
    </sheetNames>
    <sheetDataSet>
      <sheetData sheetId="0"/>
      <sheetData sheetId="1"/>
      <sheetData sheetId="2"/>
      <sheetData sheetId="3"/>
      <sheetData sheetId="4">
        <row r="244">
          <cell r="D244">
            <v>19073</v>
          </cell>
          <cell r="E244">
            <v>20057</v>
          </cell>
          <cell r="F244">
            <v>21997</v>
          </cell>
          <cell r="Q244">
            <v>8051</v>
          </cell>
          <cell r="R244">
            <v>6011</v>
          </cell>
          <cell r="S244">
            <v>4580</v>
          </cell>
          <cell r="T244">
            <v>4757</v>
          </cell>
        </row>
        <row r="247">
          <cell r="D247">
            <v>5732</v>
          </cell>
          <cell r="E247">
            <v>6040</v>
          </cell>
          <cell r="F247">
            <v>6475</v>
          </cell>
          <cell r="Q247">
            <v>2291</v>
          </cell>
          <cell r="R247">
            <v>1716</v>
          </cell>
          <cell r="S247">
            <v>1335</v>
          </cell>
          <cell r="T247">
            <v>1457</v>
          </cell>
        </row>
        <row r="250">
          <cell r="D250">
            <v>5179</v>
          </cell>
          <cell r="E250">
            <v>5553</v>
          </cell>
          <cell r="F250">
            <v>6335</v>
          </cell>
          <cell r="Q250">
            <v>2163</v>
          </cell>
          <cell r="R250">
            <v>1498</v>
          </cell>
          <cell r="S250">
            <v>1127</v>
          </cell>
          <cell r="T250">
            <v>1193</v>
          </cell>
        </row>
        <row r="253">
          <cell r="D253">
            <v>763</v>
          </cell>
          <cell r="E253">
            <v>820</v>
          </cell>
          <cell r="F253">
            <v>942</v>
          </cell>
          <cell r="Q253">
            <v>365</v>
          </cell>
          <cell r="R253">
            <v>282</v>
          </cell>
          <cell r="S253">
            <v>201</v>
          </cell>
          <cell r="T253">
            <v>211</v>
          </cell>
        </row>
        <row r="256">
          <cell r="D256">
            <v>555</v>
          </cell>
          <cell r="E256">
            <v>548</v>
          </cell>
          <cell r="F256">
            <v>608</v>
          </cell>
          <cell r="Q256">
            <v>255</v>
          </cell>
          <cell r="R256">
            <v>208</v>
          </cell>
          <cell r="S256">
            <v>160</v>
          </cell>
          <cell r="T256">
            <v>144</v>
          </cell>
        </row>
        <row r="259">
          <cell r="D259">
            <v>1205</v>
          </cell>
          <cell r="E259">
            <v>1242</v>
          </cell>
          <cell r="F259">
            <v>1344</v>
          </cell>
          <cell r="Q259">
            <v>524</v>
          </cell>
          <cell r="R259">
            <v>389</v>
          </cell>
          <cell r="S259">
            <v>290</v>
          </cell>
          <cell r="T259">
            <v>273</v>
          </cell>
        </row>
        <row r="262">
          <cell r="D262">
            <v>1003</v>
          </cell>
          <cell r="E262">
            <v>1036</v>
          </cell>
          <cell r="F262">
            <v>1091</v>
          </cell>
          <cell r="Q262">
            <v>452</v>
          </cell>
          <cell r="R262">
            <v>359</v>
          </cell>
          <cell r="S262">
            <v>248</v>
          </cell>
          <cell r="T262">
            <v>244</v>
          </cell>
        </row>
        <row r="265">
          <cell r="D265">
            <v>1756</v>
          </cell>
          <cell r="E265">
            <v>1801</v>
          </cell>
          <cell r="F265">
            <v>1935</v>
          </cell>
          <cell r="Q265">
            <v>718</v>
          </cell>
          <cell r="R265">
            <v>546</v>
          </cell>
          <cell r="S265">
            <v>431</v>
          </cell>
          <cell r="T265">
            <v>432</v>
          </cell>
        </row>
        <row r="268">
          <cell r="D268">
            <v>578</v>
          </cell>
          <cell r="E268">
            <v>586</v>
          </cell>
          <cell r="F268">
            <v>629</v>
          </cell>
          <cell r="Q268">
            <v>218</v>
          </cell>
          <cell r="R268">
            <v>160</v>
          </cell>
          <cell r="S268">
            <v>120</v>
          </cell>
          <cell r="T268">
            <v>128</v>
          </cell>
        </row>
        <row r="271">
          <cell r="D271">
            <v>1223</v>
          </cell>
          <cell r="E271">
            <v>1275</v>
          </cell>
          <cell r="F271">
            <v>1398</v>
          </cell>
          <cell r="Q271">
            <v>590</v>
          </cell>
          <cell r="R271">
            <v>496</v>
          </cell>
          <cell r="S271">
            <v>401</v>
          </cell>
          <cell r="T271">
            <v>405</v>
          </cell>
        </row>
        <row r="274">
          <cell r="D274">
            <v>1079</v>
          </cell>
          <cell r="E274">
            <v>1156</v>
          </cell>
          <cell r="F274">
            <v>1240</v>
          </cell>
          <cell r="Q274">
            <v>475</v>
          </cell>
          <cell r="R274">
            <v>357</v>
          </cell>
          <cell r="S274">
            <v>267</v>
          </cell>
          <cell r="T274">
            <v>270</v>
          </cell>
        </row>
      </sheetData>
      <sheetData sheetId="5">
        <row r="244">
          <cell r="D244">
            <v>19155</v>
          </cell>
          <cell r="E244">
            <v>19778</v>
          </cell>
          <cell r="F244">
            <v>21692</v>
          </cell>
          <cell r="Q244">
            <v>8495</v>
          </cell>
          <cell r="R244">
            <v>6153</v>
          </cell>
          <cell r="S244">
            <v>4714</v>
          </cell>
          <cell r="T244">
            <v>4981</v>
          </cell>
        </row>
        <row r="247">
          <cell r="D247">
            <v>5771</v>
          </cell>
          <cell r="E247">
            <v>5961</v>
          </cell>
          <cell r="F247">
            <v>6426</v>
          </cell>
          <cell r="Q247">
            <v>2417</v>
          </cell>
          <cell r="R247">
            <v>1761</v>
          </cell>
          <cell r="S247">
            <v>1360</v>
          </cell>
          <cell r="T247">
            <v>1528</v>
          </cell>
        </row>
        <row r="250">
          <cell r="D250">
            <v>5215</v>
          </cell>
          <cell r="E250">
            <v>5478</v>
          </cell>
          <cell r="F250">
            <v>6303</v>
          </cell>
          <cell r="Q250">
            <v>2328</v>
          </cell>
          <cell r="R250">
            <v>1540</v>
          </cell>
          <cell r="S250">
            <v>1165</v>
          </cell>
          <cell r="T250">
            <v>1248</v>
          </cell>
        </row>
        <row r="253">
          <cell r="D253">
            <v>757</v>
          </cell>
          <cell r="E253">
            <v>800</v>
          </cell>
          <cell r="F253">
            <v>915</v>
          </cell>
          <cell r="Q253">
            <v>379</v>
          </cell>
          <cell r="R253">
            <v>290</v>
          </cell>
          <cell r="S253">
            <v>211</v>
          </cell>
          <cell r="T253">
            <v>216</v>
          </cell>
        </row>
        <row r="256">
          <cell r="D256">
            <v>556</v>
          </cell>
          <cell r="E256">
            <v>545</v>
          </cell>
          <cell r="F256">
            <v>588</v>
          </cell>
          <cell r="Q256">
            <v>268</v>
          </cell>
          <cell r="R256">
            <v>211</v>
          </cell>
          <cell r="S256">
            <v>167</v>
          </cell>
          <cell r="T256">
            <v>154</v>
          </cell>
        </row>
        <row r="259">
          <cell r="D259">
            <v>1209</v>
          </cell>
          <cell r="E259">
            <v>1227</v>
          </cell>
          <cell r="F259">
            <v>1309</v>
          </cell>
          <cell r="Q259">
            <v>550</v>
          </cell>
          <cell r="R259">
            <v>399</v>
          </cell>
          <cell r="S259">
            <v>301</v>
          </cell>
          <cell r="T259">
            <v>288</v>
          </cell>
        </row>
        <row r="262">
          <cell r="D262">
            <v>996</v>
          </cell>
          <cell r="E262">
            <v>1017</v>
          </cell>
          <cell r="F262">
            <v>1070</v>
          </cell>
          <cell r="Q262">
            <v>463</v>
          </cell>
          <cell r="R262">
            <v>373</v>
          </cell>
          <cell r="S262">
            <v>259</v>
          </cell>
          <cell r="T262">
            <v>254</v>
          </cell>
        </row>
        <row r="265">
          <cell r="D265">
            <v>1756</v>
          </cell>
          <cell r="E265">
            <v>1771</v>
          </cell>
          <cell r="F265">
            <v>1874</v>
          </cell>
          <cell r="Q265">
            <v>752</v>
          </cell>
          <cell r="R265">
            <v>550</v>
          </cell>
          <cell r="S265">
            <v>438</v>
          </cell>
          <cell r="T265">
            <v>452</v>
          </cell>
        </row>
        <row r="268">
          <cell r="D268">
            <v>582</v>
          </cell>
          <cell r="E268">
            <v>579</v>
          </cell>
          <cell r="F268">
            <v>608</v>
          </cell>
          <cell r="Q268">
            <v>228</v>
          </cell>
          <cell r="R268">
            <v>167</v>
          </cell>
          <cell r="S268">
            <v>122</v>
          </cell>
          <cell r="T268">
            <v>134</v>
          </cell>
        </row>
        <row r="271">
          <cell r="D271">
            <v>1232</v>
          </cell>
          <cell r="E271">
            <v>1260</v>
          </cell>
          <cell r="F271">
            <v>1369</v>
          </cell>
          <cell r="Q271">
            <v>608</v>
          </cell>
          <cell r="R271">
            <v>496</v>
          </cell>
          <cell r="S271">
            <v>413</v>
          </cell>
          <cell r="T271">
            <v>425</v>
          </cell>
        </row>
        <row r="274">
          <cell r="D274">
            <v>1081</v>
          </cell>
          <cell r="E274">
            <v>1140</v>
          </cell>
          <cell r="F274">
            <v>1230</v>
          </cell>
          <cell r="Q274">
            <v>502</v>
          </cell>
          <cell r="R274">
            <v>366</v>
          </cell>
          <cell r="S274">
            <v>278</v>
          </cell>
          <cell r="T274">
            <v>282</v>
          </cell>
        </row>
      </sheetData>
      <sheetData sheetId="6">
        <row r="244">
          <cell r="D244">
            <v>19241</v>
          </cell>
          <cell r="E244">
            <v>19503</v>
          </cell>
          <cell r="F244">
            <v>21391</v>
          </cell>
          <cell r="Q244">
            <v>8943</v>
          </cell>
          <cell r="R244">
            <v>6299</v>
          </cell>
          <cell r="S244">
            <v>4852</v>
          </cell>
          <cell r="T244">
            <v>5207</v>
          </cell>
        </row>
        <row r="247">
          <cell r="D247">
            <v>5810</v>
          </cell>
          <cell r="E247">
            <v>5884</v>
          </cell>
          <cell r="F247">
            <v>6378</v>
          </cell>
          <cell r="Q247">
            <v>2547</v>
          </cell>
          <cell r="R247">
            <v>1807</v>
          </cell>
          <cell r="S247">
            <v>1387</v>
          </cell>
          <cell r="T247">
            <v>1599</v>
          </cell>
        </row>
        <row r="250">
          <cell r="D250">
            <v>5249</v>
          </cell>
          <cell r="E250">
            <v>5403</v>
          </cell>
          <cell r="F250">
            <v>6268</v>
          </cell>
          <cell r="Q250">
            <v>2493</v>
          </cell>
          <cell r="R250">
            <v>1585</v>
          </cell>
          <cell r="S250">
            <v>1204</v>
          </cell>
          <cell r="T250">
            <v>1303</v>
          </cell>
        </row>
        <row r="253">
          <cell r="D253">
            <v>749</v>
          </cell>
          <cell r="E253">
            <v>779</v>
          </cell>
          <cell r="F253">
            <v>891</v>
          </cell>
          <cell r="Q253">
            <v>392</v>
          </cell>
          <cell r="R253">
            <v>296</v>
          </cell>
          <cell r="S253">
            <v>221</v>
          </cell>
          <cell r="T253">
            <v>222</v>
          </cell>
        </row>
        <row r="256">
          <cell r="D256">
            <v>561</v>
          </cell>
          <cell r="E256">
            <v>543</v>
          </cell>
          <cell r="F256">
            <v>570</v>
          </cell>
          <cell r="Q256">
            <v>279</v>
          </cell>
          <cell r="R256">
            <v>218</v>
          </cell>
          <cell r="S256">
            <v>173</v>
          </cell>
          <cell r="T256">
            <v>164</v>
          </cell>
        </row>
        <row r="259">
          <cell r="D259">
            <v>1216</v>
          </cell>
          <cell r="E259">
            <v>1209</v>
          </cell>
          <cell r="F259">
            <v>1275</v>
          </cell>
          <cell r="Q259">
            <v>578</v>
          </cell>
          <cell r="R259">
            <v>406</v>
          </cell>
          <cell r="S259">
            <v>312</v>
          </cell>
          <cell r="T259">
            <v>302</v>
          </cell>
        </row>
        <row r="262">
          <cell r="D262">
            <v>992</v>
          </cell>
          <cell r="E262">
            <v>1002</v>
          </cell>
          <cell r="F262">
            <v>1049</v>
          </cell>
          <cell r="Q262">
            <v>477</v>
          </cell>
          <cell r="R262">
            <v>389</v>
          </cell>
          <cell r="S262">
            <v>270</v>
          </cell>
          <cell r="T262">
            <v>265</v>
          </cell>
        </row>
        <row r="265">
          <cell r="D265">
            <v>1755</v>
          </cell>
          <cell r="E265">
            <v>1742</v>
          </cell>
          <cell r="F265">
            <v>1814</v>
          </cell>
          <cell r="Q265">
            <v>784</v>
          </cell>
          <cell r="R265">
            <v>555</v>
          </cell>
          <cell r="S265">
            <v>449</v>
          </cell>
          <cell r="T265">
            <v>472</v>
          </cell>
        </row>
        <row r="268">
          <cell r="D268">
            <v>585</v>
          </cell>
          <cell r="E268">
            <v>574</v>
          </cell>
          <cell r="F268">
            <v>586</v>
          </cell>
          <cell r="Q268">
            <v>239</v>
          </cell>
          <cell r="R268">
            <v>173</v>
          </cell>
          <cell r="S268">
            <v>123</v>
          </cell>
          <cell r="T268">
            <v>141</v>
          </cell>
        </row>
        <row r="271">
          <cell r="D271">
            <v>1242</v>
          </cell>
          <cell r="E271">
            <v>1249</v>
          </cell>
          <cell r="F271">
            <v>1339</v>
          </cell>
          <cell r="Q271">
            <v>628</v>
          </cell>
          <cell r="R271">
            <v>498</v>
          </cell>
          <cell r="S271">
            <v>426</v>
          </cell>
          <cell r="T271">
            <v>445</v>
          </cell>
        </row>
        <row r="274">
          <cell r="D274">
            <v>1082</v>
          </cell>
          <cell r="E274">
            <v>1118</v>
          </cell>
          <cell r="F274">
            <v>1221</v>
          </cell>
          <cell r="Q274">
            <v>526</v>
          </cell>
          <cell r="R274">
            <v>372</v>
          </cell>
          <cell r="S274">
            <v>287</v>
          </cell>
          <cell r="T274">
            <v>294</v>
          </cell>
        </row>
      </sheetData>
      <sheetData sheetId="7">
        <row r="244">
          <cell r="D244">
            <v>19329</v>
          </cell>
          <cell r="E244">
            <v>19567</v>
          </cell>
          <cell r="F244">
            <v>21095</v>
          </cell>
          <cell r="Q244">
            <v>9281</v>
          </cell>
          <cell r="R244">
            <v>6716</v>
          </cell>
          <cell r="S244">
            <v>4990</v>
          </cell>
          <cell r="T244">
            <v>5448</v>
          </cell>
        </row>
        <row r="247">
          <cell r="D247">
            <v>5856</v>
          </cell>
          <cell r="E247">
            <v>5917</v>
          </cell>
          <cell r="F247">
            <v>6293</v>
          </cell>
          <cell r="Q247">
            <v>2664</v>
          </cell>
          <cell r="R247">
            <v>1929</v>
          </cell>
          <cell r="S247">
            <v>1431</v>
          </cell>
          <cell r="T247">
            <v>1665</v>
          </cell>
        </row>
        <row r="250">
          <cell r="D250">
            <v>5291</v>
          </cell>
          <cell r="E250">
            <v>5433</v>
          </cell>
          <cell r="F250">
            <v>6182</v>
          </cell>
          <cell r="Q250">
            <v>2599</v>
          </cell>
          <cell r="R250">
            <v>1740</v>
          </cell>
          <cell r="S250">
            <v>1245</v>
          </cell>
          <cell r="T250">
            <v>1367</v>
          </cell>
        </row>
        <row r="253">
          <cell r="D253">
            <v>744</v>
          </cell>
          <cell r="E253">
            <v>774</v>
          </cell>
          <cell r="F253">
            <v>870</v>
          </cell>
          <cell r="Q253">
            <v>403</v>
          </cell>
          <cell r="R253">
            <v>308</v>
          </cell>
          <cell r="S253">
            <v>226</v>
          </cell>
          <cell r="T253">
            <v>233</v>
          </cell>
        </row>
        <row r="256">
          <cell r="D256">
            <v>562</v>
          </cell>
          <cell r="E256">
            <v>544</v>
          </cell>
          <cell r="F256">
            <v>566</v>
          </cell>
          <cell r="Q256">
            <v>289</v>
          </cell>
          <cell r="R256">
            <v>225</v>
          </cell>
          <cell r="S256">
            <v>177</v>
          </cell>
          <cell r="T256">
            <v>175</v>
          </cell>
        </row>
        <row r="259">
          <cell r="D259">
            <v>1219</v>
          </cell>
          <cell r="E259">
            <v>1213</v>
          </cell>
          <cell r="F259">
            <v>1259</v>
          </cell>
          <cell r="Q259">
            <v>603</v>
          </cell>
          <cell r="R259">
            <v>434</v>
          </cell>
          <cell r="S259">
            <v>322</v>
          </cell>
          <cell r="T259">
            <v>319</v>
          </cell>
        </row>
        <row r="262">
          <cell r="D262">
            <v>985</v>
          </cell>
          <cell r="E262">
            <v>996</v>
          </cell>
          <cell r="F262">
            <v>1034</v>
          </cell>
          <cell r="Q262">
            <v>496</v>
          </cell>
          <cell r="R262">
            <v>399</v>
          </cell>
          <cell r="S262">
            <v>283</v>
          </cell>
          <cell r="T262">
            <v>279</v>
          </cell>
        </row>
        <row r="265">
          <cell r="D265">
            <v>1749</v>
          </cell>
          <cell r="E265">
            <v>1739</v>
          </cell>
          <cell r="F265">
            <v>1786</v>
          </cell>
          <cell r="Q265">
            <v>804</v>
          </cell>
          <cell r="R265">
            <v>586</v>
          </cell>
          <cell r="S265">
            <v>454</v>
          </cell>
          <cell r="T265">
            <v>490</v>
          </cell>
        </row>
        <row r="268">
          <cell r="D268">
            <v>586</v>
          </cell>
          <cell r="E268">
            <v>575</v>
          </cell>
          <cell r="F268">
            <v>581</v>
          </cell>
          <cell r="Q268">
            <v>251</v>
          </cell>
          <cell r="R268">
            <v>184</v>
          </cell>
          <cell r="S268">
            <v>130</v>
          </cell>
          <cell r="T268">
            <v>146</v>
          </cell>
        </row>
        <row r="271">
          <cell r="D271">
            <v>1254</v>
          </cell>
          <cell r="E271">
            <v>1257</v>
          </cell>
          <cell r="F271">
            <v>1324</v>
          </cell>
          <cell r="Q271">
            <v>644</v>
          </cell>
          <cell r="R271">
            <v>515</v>
          </cell>
          <cell r="S271">
            <v>427</v>
          </cell>
          <cell r="T271">
            <v>466</v>
          </cell>
        </row>
        <row r="274">
          <cell r="D274">
            <v>1083</v>
          </cell>
          <cell r="E274">
            <v>1119</v>
          </cell>
          <cell r="F274">
            <v>1200</v>
          </cell>
          <cell r="Q274">
            <v>528</v>
          </cell>
          <cell r="R274">
            <v>396</v>
          </cell>
          <cell r="S274">
            <v>295</v>
          </cell>
          <cell r="T274">
            <v>308</v>
          </cell>
        </row>
      </sheetData>
      <sheetData sheetId="8">
        <row r="244">
          <cell r="D244">
            <v>19408</v>
          </cell>
          <cell r="E244">
            <v>19641</v>
          </cell>
          <cell r="F244">
            <v>20791</v>
          </cell>
          <cell r="Q244">
            <v>9624</v>
          </cell>
          <cell r="R244">
            <v>7128</v>
          </cell>
          <cell r="S244">
            <v>5123</v>
          </cell>
          <cell r="T244">
            <v>5692</v>
          </cell>
        </row>
        <row r="247">
          <cell r="D247">
            <v>5902</v>
          </cell>
          <cell r="E247">
            <v>5954</v>
          </cell>
          <cell r="F247">
            <v>6211</v>
          </cell>
          <cell r="Q247">
            <v>2782</v>
          </cell>
          <cell r="R247">
            <v>2049</v>
          </cell>
          <cell r="S247">
            <v>1475</v>
          </cell>
          <cell r="T247">
            <v>1733</v>
          </cell>
        </row>
        <row r="250">
          <cell r="D250">
            <v>5329</v>
          </cell>
          <cell r="E250">
            <v>5465</v>
          </cell>
          <cell r="F250">
            <v>6099</v>
          </cell>
          <cell r="Q250">
            <v>2707</v>
          </cell>
          <cell r="R250">
            <v>1896</v>
          </cell>
          <cell r="S250">
            <v>1287</v>
          </cell>
          <cell r="T250">
            <v>1430</v>
          </cell>
        </row>
        <row r="253">
          <cell r="D253">
            <v>738</v>
          </cell>
          <cell r="E253">
            <v>766</v>
          </cell>
          <cell r="F253">
            <v>849</v>
          </cell>
          <cell r="Q253">
            <v>413</v>
          </cell>
          <cell r="R253">
            <v>320</v>
          </cell>
          <cell r="S253">
            <v>233</v>
          </cell>
          <cell r="T253">
            <v>243</v>
          </cell>
        </row>
        <row r="256">
          <cell r="D256">
            <v>564</v>
          </cell>
          <cell r="E256">
            <v>547</v>
          </cell>
          <cell r="F256">
            <v>561</v>
          </cell>
          <cell r="Q256">
            <v>298</v>
          </cell>
          <cell r="R256">
            <v>236</v>
          </cell>
          <cell r="S256">
            <v>182</v>
          </cell>
          <cell r="T256">
            <v>186</v>
          </cell>
        </row>
        <row r="259">
          <cell r="D259">
            <v>1222</v>
          </cell>
          <cell r="E259">
            <v>1218</v>
          </cell>
          <cell r="F259">
            <v>1241</v>
          </cell>
          <cell r="Q259">
            <v>630</v>
          </cell>
          <cell r="R259">
            <v>459</v>
          </cell>
          <cell r="S259">
            <v>328</v>
          </cell>
          <cell r="T259">
            <v>336</v>
          </cell>
        </row>
        <row r="262">
          <cell r="D262">
            <v>975</v>
          </cell>
          <cell r="E262">
            <v>990</v>
          </cell>
          <cell r="F262">
            <v>1016</v>
          </cell>
          <cell r="Q262">
            <v>513</v>
          </cell>
          <cell r="R262">
            <v>409</v>
          </cell>
          <cell r="S262">
            <v>296</v>
          </cell>
          <cell r="T262">
            <v>294</v>
          </cell>
        </row>
        <row r="265">
          <cell r="D265">
            <v>1740</v>
          </cell>
          <cell r="E265">
            <v>1738</v>
          </cell>
          <cell r="F265">
            <v>1754</v>
          </cell>
          <cell r="Q265">
            <v>826</v>
          </cell>
          <cell r="R265">
            <v>615</v>
          </cell>
          <cell r="S265">
            <v>457</v>
          </cell>
          <cell r="T265">
            <v>509</v>
          </cell>
        </row>
        <row r="268">
          <cell r="D268">
            <v>588</v>
          </cell>
          <cell r="E268">
            <v>579</v>
          </cell>
          <cell r="F268">
            <v>573</v>
          </cell>
          <cell r="Q268">
            <v>266</v>
          </cell>
          <cell r="R268">
            <v>194</v>
          </cell>
          <cell r="S268">
            <v>133</v>
          </cell>
          <cell r="T268">
            <v>152</v>
          </cell>
        </row>
        <row r="271">
          <cell r="D271">
            <v>1265</v>
          </cell>
          <cell r="E271">
            <v>1266</v>
          </cell>
          <cell r="F271">
            <v>1308</v>
          </cell>
          <cell r="Q271">
            <v>661</v>
          </cell>
          <cell r="R271">
            <v>532</v>
          </cell>
          <cell r="S271">
            <v>430</v>
          </cell>
          <cell r="T271">
            <v>486</v>
          </cell>
        </row>
        <row r="274">
          <cell r="D274">
            <v>1085</v>
          </cell>
          <cell r="E274">
            <v>1118</v>
          </cell>
          <cell r="F274">
            <v>1179</v>
          </cell>
          <cell r="Q274">
            <v>528</v>
          </cell>
          <cell r="R274">
            <v>418</v>
          </cell>
          <cell r="S274">
            <v>302</v>
          </cell>
          <cell r="T274">
            <v>323</v>
          </cell>
        </row>
      </sheetData>
      <sheetData sheetId="9">
        <row r="244">
          <cell r="D244">
            <v>19502</v>
          </cell>
          <cell r="E244">
            <v>19700</v>
          </cell>
          <cell r="F244">
            <v>20500</v>
          </cell>
          <cell r="Q244">
            <v>9970</v>
          </cell>
          <cell r="R244">
            <v>7545</v>
          </cell>
          <cell r="S244">
            <v>5256</v>
          </cell>
          <cell r="T244">
            <v>5937</v>
          </cell>
        </row>
        <row r="247">
          <cell r="D247">
            <v>5950</v>
          </cell>
          <cell r="E247">
            <v>5987</v>
          </cell>
          <cell r="F247">
            <v>6130</v>
          </cell>
          <cell r="Q247">
            <v>2903</v>
          </cell>
          <cell r="R247">
            <v>2170</v>
          </cell>
          <cell r="S247">
            <v>1520</v>
          </cell>
          <cell r="T247">
            <v>1799</v>
          </cell>
        </row>
        <row r="250">
          <cell r="D250">
            <v>5373</v>
          </cell>
          <cell r="E250">
            <v>5494</v>
          </cell>
          <cell r="F250">
            <v>6015</v>
          </cell>
          <cell r="Q250">
            <v>2815</v>
          </cell>
          <cell r="R250">
            <v>2052</v>
          </cell>
          <cell r="S250">
            <v>1326</v>
          </cell>
          <cell r="T250">
            <v>1495</v>
          </cell>
        </row>
        <row r="253">
          <cell r="D253">
            <v>734</v>
          </cell>
          <cell r="E253">
            <v>758</v>
          </cell>
          <cell r="F253">
            <v>829</v>
          </cell>
          <cell r="Q253">
            <v>423</v>
          </cell>
          <cell r="R253">
            <v>332</v>
          </cell>
          <cell r="S253">
            <v>239</v>
          </cell>
          <cell r="T253">
            <v>253</v>
          </cell>
        </row>
        <row r="256">
          <cell r="D256">
            <v>565</v>
          </cell>
          <cell r="E256">
            <v>549</v>
          </cell>
          <cell r="F256">
            <v>556</v>
          </cell>
          <cell r="Q256">
            <v>310</v>
          </cell>
          <cell r="R256">
            <v>247</v>
          </cell>
          <cell r="S256">
            <v>187</v>
          </cell>
          <cell r="T256">
            <v>197</v>
          </cell>
        </row>
        <row r="259">
          <cell r="D259">
            <v>1225</v>
          </cell>
          <cell r="E259">
            <v>1221</v>
          </cell>
          <cell r="F259">
            <v>1225</v>
          </cell>
          <cell r="Q259">
            <v>657</v>
          </cell>
          <cell r="R259">
            <v>484</v>
          </cell>
          <cell r="S259">
            <v>336</v>
          </cell>
          <cell r="T259">
            <v>354</v>
          </cell>
        </row>
        <row r="262">
          <cell r="D262">
            <v>971</v>
          </cell>
          <cell r="E262">
            <v>984</v>
          </cell>
          <cell r="F262">
            <v>999</v>
          </cell>
          <cell r="Q262">
            <v>531</v>
          </cell>
          <cell r="R262">
            <v>421</v>
          </cell>
          <cell r="S262">
            <v>310</v>
          </cell>
          <cell r="T262">
            <v>308</v>
          </cell>
        </row>
        <row r="265">
          <cell r="D265">
            <v>1735</v>
          </cell>
          <cell r="E265">
            <v>1734</v>
          </cell>
          <cell r="F265">
            <v>1727</v>
          </cell>
          <cell r="Q265">
            <v>846</v>
          </cell>
          <cell r="R265">
            <v>648</v>
          </cell>
          <cell r="S265">
            <v>459</v>
          </cell>
          <cell r="T265">
            <v>528</v>
          </cell>
        </row>
        <row r="268">
          <cell r="D268">
            <v>590</v>
          </cell>
          <cell r="E268">
            <v>581</v>
          </cell>
          <cell r="F268">
            <v>567</v>
          </cell>
          <cell r="Q268">
            <v>276</v>
          </cell>
          <cell r="R268">
            <v>204</v>
          </cell>
          <cell r="S268">
            <v>141</v>
          </cell>
          <cell r="T268">
            <v>157</v>
          </cell>
        </row>
        <row r="271">
          <cell r="D271">
            <v>1273</v>
          </cell>
          <cell r="E271">
            <v>1276</v>
          </cell>
          <cell r="F271">
            <v>1293</v>
          </cell>
          <cell r="Q271">
            <v>678</v>
          </cell>
          <cell r="R271">
            <v>548</v>
          </cell>
          <cell r="S271">
            <v>430</v>
          </cell>
          <cell r="T271">
            <v>508</v>
          </cell>
        </row>
        <row r="274">
          <cell r="D274">
            <v>1086</v>
          </cell>
          <cell r="E274">
            <v>1116</v>
          </cell>
          <cell r="F274">
            <v>1159</v>
          </cell>
          <cell r="Q274">
            <v>531</v>
          </cell>
          <cell r="R274">
            <v>439</v>
          </cell>
          <cell r="S274">
            <v>308</v>
          </cell>
          <cell r="T274">
            <v>338</v>
          </cell>
        </row>
      </sheetData>
      <sheetData sheetId="10">
        <row r="244">
          <cell r="D244">
            <v>19580</v>
          </cell>
          <cell r="E244">
            <v>19773</v>
          </cell>
          <cell r="F244">
            <v>20198</v>
          </cell>
          <cell r="Q244">
            <v>10302</v>
          </cell>
          <cell r="R244">
            <v>7965</v>
          </cell>
          <cell r="S244">
            <v>5396</v>
          </cell>
          <cell r="T244">
            <v>6181</v>
          </cell>
        </row>
        <row r="247">
          <cell r="D247">
            <v>5997</v>
          </cell>
          <cell r="E247">
            <v>6021</v>
          </cell>
          <cell r="F247">
            <v>6045</v>
          </cell>
          <cell r="Q247">
            <v>3018</v>
          </cell>
          <cell r="R247">
            <v>2290</v>
          </cell>
          <cell r="S247">
            <v>1565</v>
          </cell>
          <cell r="T247">
            <v>1865</v>
          </cell>
        </row>
        <row r="250">
          <cell r="D250">
            <v>5413</v>
          </cell>
          <cell r="E250">
            <v>5525</v>
          </cell>
          <cell r="F250">
            <v>5929</v>
          </cell>
          <cell r="Q250">
            <v>2922</v>
          </cell>
          <cell r="R250">
            <v>2206</v>
          </cell>
          <cell r="S250">
            <v>1368</v>
          </cell>
          <cell r="T250">
            <v>1559</v>
          </cell>
        </row>
        <row r="253">
          <cell r="D253">
            <v>727</v>
          </cell>
          <cell r="E253">
            <v>753</v>
          </cell>
          <cell r="F253">
            <v>805</v>
          </cell>
          <cell r="Q253">
            <v>430</v>
          </cell>
          <cell r="R253">
            <v>344</v>
          </cell>
          <cell r="S253">
            <v>246</v>
          </cell>
          <cell r="T253">
            <v>264</v>
          </cell>
        </row>
        <row r="256">
          <cell r="D256">
            <v>565</v>
          </cell>
          <cell r="E256">
            <v>552</v>
          </cell>
          <cell r="F256">
            <v>551</v>
          </cell>
          <cell r="Q256">
            <v>319</v>
          </cell>
          <cell r="R256">
            <v>257</v>
          </cell>
          <cell r="S256">
            <v>191</v>
          </cell>
          <cell r="T256">
            <v>209</v>
          </cell>
        </row>
        <row r="259">
          <cell r="D259">
            <v>1230</v>
          </cell>
          <cell r="E259">
            <v>1224</v>
          </cell>
          <cell r="F259">
            <v>1208</v>
          </cell>
          <cell r="Q259">
            <v>681</v>
          </cell>
          <cell r="R259">
            <v>510</v>
          </cell>
          <cell r="S259">
            <v>345</v>
          </cell>
          <cell r="T259">
            <v>371</v>
          </cell>
        </row>
        <row r="262">
          <cell r="D262">
            <v>962</v>
          </cell>
          <cell r="E262">
            <v>979</v>
          </cell>
          <cell r="F262">
            <v>984</v>
          </cell>
          <cell r="Q262">
            <v>550</v>
          </cell>
          <cell r="R262">
            <v>433</v>
          </cell>
          <cell r="S262">
            <v>323</v>
          </cell>
          <cell r="T262">
            <v>322</v>
          </cell>
        </row>
        <row r="265">
          <cell r="D265">
            <v>1726</v>
          </cell>
          <cell r="E265">
            <v>1732</v>
          </cell>
          <cell r="F265">
            <v>1697</v>
          </cell>
          <cell r="Q265">
            <v>866</v>
          </cell>
          <cell r="R265">
            <v>679</v>
          </cell>
          <cell r="S265">
            <v>464</v>
          </cell>
          <cell r="T265">
            <v>547</v>
          </cell>
        </row>
        <row r="268">
          <cell r="D268">
            <v>591</v>
          </cell>
          <cell r="E268">
            <v>584</v>
          </cell>
          <cell r="F268">
            <v>561</v>
          </cell>
          <cell r="Q268">
            <v>288</v>
          </cell>
          <cell r="R268">
            <v>215</v>
          </cell>
          <cell r="S268">
            <v>145</v>
          </cell>
          <cell r="T268">
            <v>162</v>
          </cell>
        </row>
        <row r="271">
          <cell r="D271">
            <v>1284</v>
          </cell>
          <cell r="E271">
            <v>1286</v>
          </cell>
          <cell r="F271">
            <v>1278</v>
          </cell>
          <cell r="Q271">
            <v>695</v>
          </cell>
          <cell r="R271">
            <v>567</v>
          </cell>
          <cell r="S271">
            <v>432</v>
          </cell>
          <cell r="T271">
            <v>529</v>
          </cell>
        </row>
        <row r="274">
          <cell r="D274">
            <v>1085</v>
          </cell>
          <cell r="E274">
            <v>1117</v>
          </cell>
          <cell r="F274">
            <v>1140</v>
          </cell>
          <cell r="Q274">
            <v>533</v>
          </cell>
          <cell r="R274">
            <v>464</v>
          </cell>
          <cell r="S274">
            <v>317</v>
          </cell>
          <cell r="T274">
            <v>353</v>
          </cell>
        </row>
      </sheetData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contro"/>
      <sheetName val="MACR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11">
          <cell r="D11">
            <v>1378</v>
          </cell>
        </row>
        <row r="12">
          <cell r="D12">
            <v>2603</v>
          </cell>
        </row>
        <row r="15">
          <cell r="D15">
            <v>71</v>
          </cell>
        </row>
        <row r="16">
          <cell r="D16">
            <v>670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contro"/>
      <sheetName val="MACR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11">
          <cell r="D11">
            <v>1555</v>
          </cell>
        </row>
        <row r="12">
          <cell r="D12">
            <v>2307</v>
          </cell>
        </row>
        <row r="15">
          <cell r="D15">
            <v>809</v>
          </cell>
        </row>
        <row r="16">
          <cell r="D16">
            <v>3088</v>
          </cell>
        </row>
        <row r="37">
          <cell r="E37">
            <v>145</v>
          </cell>
          <cell r="F37">
            <v>138</v>
          </cell>
          <cell r="G37">
            <v>233</v>
          </cell>
          <cell r="H37">
            <v>139</v>
          </cell>
          <cell r="I37">
            <v>446</v>
          </cell>
          <cell r="J37">
            <v>694</v>
          </cell>
          <cell r="K37">
            <v>1323</v>
          </cell>
          <cell r="L37">
            <v>198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contro"/>
      <sheetName val="MACR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11">
          <cell r="D11">
            <v>0</v>
          </cell>
        </row>
        <row r="12">
          <cell r="D12">
            <v>0</v>
          </cell>
        </row>
        <row r="15">
          <cell r="D15">
            <v>0</v>
          </cell>
        </row>
        <row r="16">
          <cell r="D16">
            <v>0</v>
          </cell>
        </row>
        <row r="37"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contro"/>
      <sheetName val="MACR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11">
          <cell r="D11">
            <v>1164</v>
          </cell>
        </row>
        <row r="12">
          <cell r="D12">
            <v>4125</v>
          </cell>
        </row>
        <row r="15">
          <cell r="D15">
            <v>219</v>
          </cell>
        </row>
        <row r="16">
          <cell r="D16">
            <v>1968</v>
          </cell>
        </row>
        <row r="37">
          <cell r="E37">
            <v>142</v>
          </cell>
          <cell r="F37">
            <v>80</v>
          </cell>
          <cell r="G37">
            <v>508</v>
          </cell>
          <cell r="H37">
            <v>125</v>
          </cell>
          <cell r="I37">
            <v>537</v>
          </cell>
          <cell r="J37">
            <v>780</v>
          </cell>
          <cell r="K37">
            <v>1138</v>
          </cell>
          <cell r="L37">
            <v>426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contro"/>
      <sheetName val="MACR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11">
          <cell r="D11">
            <v>354</v>
          </cell>
        </row>
        <row r="12">
          <cell r="D12">
            <v>975</v>
          </cell>
        </row>
        <row r="15">
          <cell r="D15">
            <v>10</v>
          </cell>
        </row>
        <row r="16">
          <cell r="D16">
            <v>38</v>
          </cell>
        </row>
        <row r="37">
          <cell r="E37">
            <v>40</v>
          </cell>
          <cell r="F37">
            <v>52</v>
          </cell>
          <cell r="G37">
            <v>96</v>
          </cell>
          <cell r="H37">
            <v>41</v>
          </cell>
          <cell r="I37">
            <v>118</v>
          </cell>
          <cell r="J37">
            <v>93</v>
          </cell>
          <cell r="K37">
            <v>481</v>
          </cell>
          <cell r="L37">
            <v>169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contro"/>
      <sheetName val="MACR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11">
          <cell r="D11">
            <v>0</v>
          </cell>
        </row>
        <row r="12">
          <cell r="D12">
            <v>0</v>
          </cell>
        </row>
        <row r="15">
          <cell r="D15">
            <v>0</v>
          </cell>
        </row>
        <row r="16">
          <cell r="D16">
            <v>0</v>
          </cell>
        </row>
        <row r="37"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contro"/>
      <sheetName val="MACR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11">
          <cell r="D11">
            <v>2014</v>
          </cell>
        </row>
        <row r="12">
          <cell r="D12">
            <v>5715</v>
          </cell>
        </row>
        <row r="15">
          <cell r="D15">
            <v>433</v>
          </cell>
        </row>
        <row r="16">
          <cell r="D16">
            <v>5082</v>
          </cell>
        </row>
        <row r="37">
          <cell r="E37">
            <v>35</v>
          </cell>
          <cell r="F37">
            <v>92</v>
          </cell>
          <cell r="G37">
            <v>149</v>
          </cell>
          <cell r="H37">
            <v>199</v>
          </cell>
          <cell r="I37">
            <v>719</v>
          </cell>
          <cell r="J37">
            <v>443</v>
          </cell>
          <cell r="K37">
            <v>1806</v>
          </cell>
          <cell r="L37">
            <v>854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contro"/>
      <sheetName val="MACR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11">
          <cell r="D11">
            <v>2199</v>
          </cell>
        </row>
        <row r="12">
          <cell r="D12">
            <v>3703</v>
          </cell>
        </row>
        <row r="15">
          <cell r="D15">
            <v>105</v>
          </cell>
        </row>
        <row r="16">
          <cell r="D16">
            <v>148</v>
          </cell>
        </row>
        <row r="37">
          <cell r="E37">
            <v>81</v>
          </cell>
          <cell r="F37">
            <v>36</v>
          </cell>
          <cell r="G37">
            <v>132</v>
          </cell>
          <cell r="H37">
            <v>250</v>
          </cell>
          <cell r="I37">
            <v>407</v>
          </cell>
          <cell r="J37">
            <v>219</v>
          </cell>
          <cell r="K37">
            <v>673</v>
          </cell>
          <cell r="L37">
            <v>384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contro"/>
      <sheetName val="MACR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11">
          <cell r="D11">
            <v>374</v>
          </cell>
        </row>
        <row r="12">
          <cell r="D12">
            <v>928</v>
          </cell>
        </row>
        <row r="15">
          <cell r="D15">
            <v>20</v>
          </cell>
        </row>
        <row r="16">
          <cell r="D16">
            <v>239</v>
          </cell>
        </row>
        <row r="37">
          <cell r="E37">
            <v>12</v>
          </cell>
          <cell r="F37">
            <v>25</v>
          </cell>
          <cell r="G37">
            <v>47</v>
          </cell>
          <cell r="H37">
            <v>44</v>
          </cell>
          <cell r="I37">
            <v>63</v>
          </cell>
          <cell r="J37">
            <v>87</v>
          </cell>
          <cell r="K37">
            <v>245</v>
          </cell>
          <cell r="L37">
            <v>117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n Cumplimiento Actividad"/>
      <sheetName val="Resumen Cumplimiento PP"/>
      <sheetName val="HOSCA"/>
      <sheetName val="HOSLA"/>
    </sheetNames>
    <sheetDataSet>
      <sheetData sheetId="0"/>
      <sheetData sheetId="1"/>
      <sheetData sheetId="2">
        <row r="581">
          <cell r="E581">
            <v>8719</v>
          </cell>
        </row>
        <row r="610">
          <cell r="E610">
            <v>97</v>
          </cell>
        </row>
        <row r="633">
          <cell r="E633">
            <v>595</v>
          </cell>
        </row>
        <row r="652">
          <cell r="E652">
            <v>770</v>
          </cell>
        </row>
        <row r="655">
          <cell r="E655">
            <v>2790</v>
          </cell>
        </row>
        <row r="662">
          <cell r="E662">
            <v>1376</v>
          </cell>
        </row>
        <row r="671">
          <cell r="E671">
            <v>2512</v>
          </cell>
        </row>
        <row r="676">
          <cell r="E676">
            <v>1648</v>
          </cell>
        </row>
        <row r="696">
          <cell r="E696">
            <v>5</v>
          </cell>
        </row>
        <row r="706">
          <cell r="E706">
            <v>0</v>
          </cell>
        </row>
        <row r="713">
          <cell r="E713">
            <v>2005</v>
          </cell>
        </row>
        <row r="718">
          <cell r="E718">
            <v>0</v>
          </cell>
        </row>
        <row r="723">
          <cell r="E723">
            <v>5</v>
          </cell>
        </row>
        <row r="735">
          <cell r="E735">
            <v>0</v>
          </cell>
        </row>
        <row r="749">
          <cell r="E749">
            <v>0</v>
          </cell>
        </row>
        <row r="755">
          <cell r="E755">
            <v>0</v>
          </cell>
        </row>
        <row r="771">
          <cell r="E771">
            <v>29</v>
          </cell>
        </row>
        <row r="782">
          <cell r="E782">
            <v>608</v>
          </cell>
        </row>
        <row r="789">
          <cell r="E789">
            <v>43</v>
          </cell>
        </row>
        <row r="793">
          <cell r="E793">
            <v>447</v>
          </cell>
        </row>
        <row r="798">
          <cell r="E798">
            <v>524</v>
          </cell>
        </row>
        <row r="808">
          <cell r="E808">
            <v>166</v>
          </cell>
        </row>
        <row r="812">
          <cell r="E812">
            <v>64</v>
          </cell>
        </row>
        <row r="821">
          <cell r="E821">
            <v>0</v>
          </cell>
        </row>
        <row r="832">
          <cell r="E832">
            <v>6434</v>
          </cell>
        </row>
        <row r="836">
          <cell r="E836">
            <v>195</v>
          </cell>
        </row>
        <row r="841">
          <cell r="E841">
            <v>587</v>
          </cell>
        </row>
        <row r="846">
          <cell r="E846">
            <v>61</v>
          </cell>
        </row>
        <row r="851">
          <cell r="E851">
            <v>0</v>
          </cell>
        </row>
        <row r="857">
          <cell r="E857">
            <v>0</v>
          </cell>
        </row>
        <row r="862">
          <cell r="E862">
            <v>0</v>
          </cell>
        </row>
        <row r="867">
          <cell r="E867">
            <v>1944</v>
          </cell>
        </row>
        <row r="876">
          <cell r="E876">
            <v>668</v>
          </cell>
        </row>
        <row r="882">
          <cell r="E882">
            <v>596</v>
          </cell>
        </row>
        <row r="885">
          <cell r="E885">
            <v>889</v>
          </cell>
        </row>
        <row r="889">
          <cell r="E889">
            <v>29</v>
          </cell>
        </row>
        <row r="898">
          <cell r="E898">
            <v>0</v>
          </cell>
        </row>
        <row r="901">
          <cell r="E901">
            <v>1</v>
          </cell>
        </row>
        <row r="908">
          <cell r="E908">
            <v>16</v>
          </cell>
        </row>
        <row r="918">
          <cell r="E918">
            <v>88</v>
          </cell>
        </row>
        <row r="922">
          <cell r="E922">
            <v>51</v>
          </cell>
        </row>
        <row r="941">
          <cell r="E941">
            <v>371</v>
          </cell>
        </row>
        <row r="949">
          <cell r="E949">
            <v>0</v>
          </cell>
        </row>
        <row r="953">
          <cell r="E953">
            <v>6</v>
          </cell>
        </row>
        <row r="954">
          <cell r="D954">
            <v>1</v>
          </cell>
        </row>
        <row r="956">
          <cell r="E956">
            <v>53</v>
          </cell>
        </row>
        <row r="960">
          <cell r="E960">
            <v>7</v>
          </cell>
        </row>
        <row r="966">
          <cell r="E966">
            <v>0</v>
          </cell>
        </row>
        <row r="974">
          <cell r="E974">
            <v>0</v>
          </cell>
        </row>
        <row r="977">
          <cell r="E977">
            <v>0</v>
          </cell>
        </row>
        <row r="982">
          <cell r="E982">
            <v>769</v>
          </cell>
        </row>
        <row r="985">
          <cell r="E985">
            <v>0</v>
          </cell>
        </row>
        <row r="1011">
          <cell r="E1011">
            <v>1362</v>
          </cell>
        </row>
        <row r="1014">
          <cell r="E1014">
            <v>48</v>
          </cell>
        </row>
        <row r="1022">
          <cell r="E1022">
            <v>37</v>
          </cell>
        </row>
        <row r="1027">
          <cell r="E1027">
            <v>34</v>
          </cell>
        </row>
        <row r="1035">
          <cell r="E1035">
            <v>378</v>
          </cell>
        </row>
        <row r="1038">
          <cell r="E1038">
            <v>366</v>
          </cell>
        </row>
        <row r="1042">
          <cell r="E1042">
            <v>309</v>
          </cell>
        </row>
        <row r="1046">
          <cell r="E1046">
            <v>0</v>
          </cell>
        </row>
        <row r="1050">
          <cell r="E1050">
            <v>840</v>
          </cell>
        </row>
        <row r="1053">
          <cell r="E1053">
            <v>0</v>
          </cell>
        </row>
        <row r="1057">
          <cell r="E1057">
            <v>130</v>
          </cell>
        </row>
        <row r="1060">
          <cell r="E1060">
            <v>102</v>
          </cell>
        </row>
        <row r="1066">
          <cell r="E1066">
            <v>6</v>
          </cell>
        </row>
        <row r="1072">
          <cell r="E1072">
            <v>12</v>
          </cell>
        </row>
        <row r="1077">
          <cell r="E1077">
            <v>62</v>
          </cell>
        </row>
        <row r="1087">
          <cell r="E1087">
            <v>0</v>
          </cell>
        </row>
        <row r="1099">
          <cell r="E1099">
            <v>0</v>
          </cell>
        </row>
        <row r="1115">
          <cell r="E1115">
            <v>0</v>
          </cell>
        </row>
        <row r="1123">
          <cell r="E1123">
            <v>214</v>
          </cell>
        </row>
        <row r="1130">
          <cell r="E1130">
            <v>0</v>
          </cell>
        </row>
        <row r="1134">
          <cell r="E1134">
            <v>0</v>
          </cell>
        </row>
        <row r="1138">
          <cell r="E1138">
            <v>6</v>
          </cell>
        </row>
        <row r="1145">
          <cell r="E1145">
            <v>0</v>
          </cell>
        </row>
        <row r="1154">
          <cell r="E1154">
            <v>153</v>
          </cell>
        </row>
        <row r="1161">
          <cell r="E1161">
            <v>7</v>
          </cell>
        </row>
      </sheetData>
      <sheetData sheetId="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ero"/>
      <sheetName val="Febrero"/>
      <sheetName val="Marzo"/>
      <sheetName val="Abril"/>
      <sheetName val="Mayo"/>
      <sheetName val="Junio"/>
      <sheetName val="Julio"/>
      <sheetName val="Agosto"/>
      <sheetName val="Septiembre"/>
      <sheetName val="Octubre"/>
      <sheetName val="Noviembre"/>
      <sheetName val="Diciembre"/>
      <sheetName val="Consolidado"/>
      <sheetName val="Error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14">
          <cell r="B14">
            <v>1024</v>
          </cell>
          <cell r="D14">
            <v>3</v>
          </cell>
          <cell r="E14">
            <v>2</v>
          </cell>
          <cell r="F14">
            <v>4</v>
          </cell>
          <cell r="G14">
            <v>1</v>
          </cell>
          <cell r="H14">
            <v>7</v>
          </cell>
          <cell r="I14">
            <v>1</v>
          </cell>
          <cell r="J14">
            <v>40</v>
          </cell>
          <cell r="K14">
            <v>2</v>
          </cell>
          <cell r="L14">
            <v>175</v>
          </cell>
          <cell r="M14">
            <v>1</v>
          </cell>
          <cell r="N14">
            <v>451</v>
          </cell>
          <cell r="O14">
            <v>1</v>
          </cell>
          <cell r="P14">
            <v>273</v>
          </cell>
          <cell r="Q14">
            <v>0</v>
          </cell>
          <cell r="R14">
            <v>64</v>
          </cell>
          <cell r="S14">
            <v>0</v>
          </cell>
          <cell r="T14">
            <v>7</v>
          </cell>
          <cell r="U14">
            <v>0</v>
          </cell>
        </row>
        <row r="15">
          <cell r="B15">
            <v>254</v>
          </cell>
          <cell r="D15">
            <v>1</v>
          </cell>
          <cell r="E15">
            <v>0</v>
          </cell>
          <cell r="F15">
            <v>0</v>
          </cell>
          <cell r="G15">
            <v>0</v>
          </cell>
          <cell r="H15">
            <v>1</v>
          </cell>
          <cell r="I15">
            <v>0</v>
          </cell>
          <cell r="J15">
            <v>13</v>
          </cell>
          <cell r="K15">
            <v>0</v>
          </cell>
          <cell r="L15">
            <v>49</v>
          </cell>
          <cell r="M15">
            <v>0</v>
          </cell>
          <cell r="N15">
            <v>107</v>
          </cell>
          <cell r="O15">
            <v>0</v>
          </cell>
          <cell r="P15">
            <v>66</v>
          </cell>
          <cell r="Q15">
            <v>0</v>
          </cell>
          <cell r="R15">
            <v>14</v>
          </cell>
          <cell r="S15">
            <v>0</v>
          </cell>
          <cell r="T15">
            <v>3</v>
          </cell>
          <cell r="U15">
            <v>0</v>
          </cell>
        </row>
        <row r="16">
          <cell r="B16">
            <v>151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1</v>
          </cell>
          <cell r="I16">
            <v>0</v>
          </cell>
          <cell r="J16">
            <v>6</v>
          </cell>
          <cell r="K16">
            <v>0</v>
          </cell>
          <cell r="L16">
            <v>17</v>
          </cell>
          <cell r="M16">
            <v>0</v>
          </cell>
          <cell r="N16">
            <v>66</v>
          </cell>
          <cell r="O16">
            <v>0</v>
          </cell>
          <cell r="P16">
            <v>54</v>
          </cell>
          <cell r="Q16">
            <v>0</v>
          </cell>
          <cell r="R16">
            <v>7</v>
          </cell>
          <cell r="S16">
            <v>0</v>
          </cell>
          <cell r="T16">
            <v>0</v>
          </cell>
          <cell r="U16">
            <v>0</v>
          </cell>
        </row>
        <row r="17">
          <cell r="B17">
            <v>132</v>
          </cell>
          <cell r="D17">
            <v>2</v>
          </cell>
          <cell r="E17">
            <v>0</v>
          </cell>
          <cell r="F17">
            <v>1</v>
          </cell>
          <cell r="G17">
            <v>0</v>
          </cell>
          <cell r="H17">
            <v>2</v>
          </cell>
          <cell r="I17">
            <v>0</v>
          </cell>
          <cell r="J17">
            <v>3</v>
          </cell>
          <cell r="K17">
            <v>0</v>
          </cell>
          <cell r="L17">
            <v>23</v>
          </cell>
          <cell r="M17">
            <v>0</v>
          </cell>
          <cell r="N17">
            <v>51</v>
          </cell>
          <cell r="O17">
            <v>0</v>
          </cell>
          <cell r="P17">
            <v>31</v>
          </cell>
          <cell r="Q17">
            <v>0</v>
          </cell>
          <cell r="R17">
            <v>18</v>
          </cell>
          <cell r="S17">
            <v>0</v>
          </cell>
          <cell r="T17">
            <v>1</v>
          </cell>
          <cell r="U17">
            <v>0</v>
          </cell>
        </row>
        <row r="19">
          <cell r="B19">
            <v>1101</v>
          </cell>
          <cell r="D19">
            <v>3</v>
          </cell>
          <cell r="E19">
            <v>0</v>
          </cell>
          <cell r="F19">
            <v>10</v>
          </cell>
          <cell r="G19">
            <v>0</v>
          </cell>
          <cell r="H19">
            <v>16</v>
          </cell>
          <cell r="I19">
            <v>1</v>
          </cell>
          <cell r="J19">
            <v>53</v>
          </cell>
          <cell r="K19">
            <v>1</v>
          </cell>
          <cell r="L19">
            <v>176</v>
          </cell>
          <cell r="M19">
            <v>4</v>
          </cell>
          <cell r="N19">
            <v>465</v>
          </cell>
          <cell r="O19">
            <v>1</v>
          </cell>
          <cell r="P19">
            <v>290</v>
          </cell>
          <cell r="Q19">
            <v>0</v>
          </cell>
          <cell r="R19">
            <v>73</v>
          </cell>
          <cell r="S19">
            <v>0</v>
          </cell>
          <cell r="T19">
            <v>15</v>
          </cell>
          <cell r="U19">
            <v>0</v>
          </cell>
        </row>
        <row r="20">
          <cell r="B20">
            <v>194</v>
          </cell>
          <cell r="D20">
            <v>2</v>
          </cell>
          <cell r="E20">
            <v>1</v>
          </cell>
          <cell r="F20">
            <v>3</v>
          </cell>
          <cell r="G20">
            <v>0</v>
          </cell>
          <cell r="H20">
            <v>2</v>
          </cell>
          <cell r="I20">
            <v>0</v>
          </cell>
          <cell r="J20">
            <v>7</v>
          </cell>
          <cell r="K20">
            <v>0</v>
          </cell>
          <cell r="L20">
            <v>39</v>
          </cell>
          <cell r="M20">
            <v>0</v>
          </cell>
          <cell r="N20">
            <v>78</v>
          </cell>
          <cell r="O20">
            <v>0</v>
          </cell>
          <cell r="P20">
            <v>55</v>
          </cell>
          <cell r="Q20">
            <v>1</v>
          </cell>
          <cell r="R20">
            <v>7</v>
          </cell>
          <cell r="S20">
            <v>0</v>
          </cell>
          <cell r="T20">
            <v>1</v>
          </cell>
          <cell r="U20">
            <v>0</v>
          </cell>
        </row>
        <row r="21">
          <cell r="B21">
            <v>193</v>
          </cell>
          <cell r="D21">
            <v>1</v>
          </cell>
          <cell r="E21">
            <v>3</v>
          </cell>
          <cell r="F21">
            <v>2</v>
          </cell>
          <cell r="G21">
            <v>0</v>
          </cell>
          <cell r="H21">
            <v>4</v>
          </cell>
          <cell r="I21">
            <v>0</v>
          </cell>
          <cell r="J21">
            <v>9</v>
          </cell>
          <cell r="K21">
            <v>0</v>
          </cell>
          <cell r="L21">
            <v>28</v>
          </cell>
          <cell r="M21">
            <v>0</v>
          </cell>
          <cell r="N21">
            <v>75</v>
          </cell>
          <cell r="O21">
            <v>0</v>
          </cell>
          <cell r="P21">
            <v>57</v>
          </cell>
          <cell r="Q21">
            <v>0</v>
          </cell>
          <cell r="R21">
            <v>16</v>
          </cell>
          <cell r="S21">
            <v>0</v>
          </cell>
          <cell r="T21">
            <v>1</v>
          </cell>
          <cell r="U21">
            <v>0</v>
          </cell>
        </row>
        <row r="22">
          <cell r="B22">
            <v>115</v>
          </cell>
          <cell r="D22">
            <v>0</v>
          </cell>
          <cell r="E22">
            <v>0</v>
          </cell>
          <cell r="F22">
            <v>1</v>
          </cell>
          <cell r="G22">
            <v>0</v>
          </cell>
          <cell r="H22">
            <v>3</v>
          </cell>
          <cell r="I22">
            <v>0</v>
          </cell>
          <cell r="J22">
            <v>1</v>
          </cell>
          <cell r="K22">
            <v>0</v>
          </cell>
          <cell r="L22">
            <v>24</v>
          </cell>
          <cell r="M22">
            <v>0</v>
          </cell>
          <cell r="N22">
            <v>48</v>
          </cell>
          <cell r="O22">
            <v>0</v>
          </cell>
          <cell r="P22">
            <v>29</v>
          </cell>
          <cell r="Q22">
            <v>0</v>
          </cell>
          <cell r="R22">
            <v>7</v>
          </cell>
          <cell r="S22">
            <v>0</v>
          </cell>
          <cell r="T22">
            <v>2</v>
          </cell>
          <cell r="U22">
            <v>0</v>
          </cell>
        </row>
        <row r="23">
          <cell r="B23">
            <v>392</v>
          </cell>
          <cell r="D23">
            <v>2</v>
          </cell>
          <cell r="E23">
            <v>0</v>
          </cell>
          <cell r="F23">
            <v>1</v>
          </cell>
          <cell r="G23">
            <v>0</v>
          </cell>
          <cell r="H23">
            <v>5</v>
          </cell>
          <cell r="I23">
            <v>1</v>
          </cell>
          <cell r="J23">
            <v>11</v>
          </cell>
          <cell r="K23">
            <v>0</v>
          </cell>
          <cell r="L23">
            <v>67</v>
          </cell>
          <cell r="M23">
            <v>0</v>
          </cell>
          <cell r="N23">
            <v>179</v>
          </cell>
          <cell r="O23">
            <v>0</v>
          </cell>
          <cell r="P23">
            <v>99</v>
          </cell>
          <cell r="Q23">
            <v>0</v>
          </cell>
          <cell r="R23">
            <v>28</v>
          </cell>
          <cell r="S23">
            <v>0</v>
          </cell>
          <cell r="T23">
            <v>0</v>
          </cell>
          <cell r="U23">
            <v>0</v>
          </cell>
        </row>
        <row r="24">
          <cell r="B24">
            <v>197</v>
          </cell>
          <cell r="D24">
            <v>0</v>
          </cell>
          <cell r="E24">
            <v>0</v>
          </cell>
          <cell r="F24">
            <v>1</v>
          </cell>
          <cell r="G24">
            <v>0</v>
          </cell>
          <cell r="H24">
            <v>2</v>
          </cell>
          <cell r="I24">
            <v>0</v>
          </cell>
          <cell r="J24">
            <v>6</v>
          </cell>
          <cell r="K24">
            <v>0</v>
          </cell>
          <cell r="L24">
            <v>39</v>
          </cell>
          <cell r="M24">
            <v>0</v>
          </cell>
          <cell r="N24">
            <v>64</v>
          </cell>
          <cell r="O24">
            <v>0</v>
          </cell>
          <cell r="P24">
            <v>64</v>
          </cell>
          <cell r="Q24">
            <v>0</v>
          </cell>
          <cell r="R24">
            <v>19</v>
          </cell>
          <cell r="S24">
            <v>0</v>
          </cell>
          <cell r="T24">
            <v>2</v>
          </cell>
          <cell r="U24">
            <v>0</v>
          </cell>
        </row>
        <row r="102">
          <cell r="C102">
            <v>5</v>
          </cell>
          <cell r="D102">
            <v>332</v>
          </cell>
          <cell r="E102">
            <v>579</v>
          </cell>
          <cell r="F102">
            <v>567</v>
          </cell>
          <cell r="G102">
            <v>477</v>
          </cell>
          <cell r="H102">
            <v>244</v>
          </cell>
          <cell r="I102">
            <v>75</v>
          </cell>
          <cell r="J102">
            <v>7</v>
          </cell>
        </row>
        <row r="103">
          <cell r="C103">
            <v>0</v>
          </cell>
          <cell r="D103">
            <v>15</v>
          </cell>
          <cell r="E103">
            <v>33</v>
          </cell>
          <cell r="F103">
            <v>30</v>
          </cell>
          <cell r="G103">
            <v>35</v>
          </cell>
          <cell r="H103">
            <v>27</v>
          </cell>
          <cell r="I103">
            <v>19</v>
          </cell>
          <cell r="J103">
            <v>2</v>
          </cell>
        </row>
        <row r="121">
          <cell r="D121">
            <v>14</v>
          </cell>
          <cell r="E121">
            <v>4</v>
          </cell>
          <cell r="F121">
            <v>25</v>
          </cell>
          <cell r="G121">
            <v>0</v>
          </cell>
          <cell r="H121">
            <v>40</v>
          </cell>
          <cell r="I121">
            <v>3</v>
          </cell>
          <cell r="J121">
            <v>100</v>
          </cell>
          <cell r="K121">
            <v>1</v>
          </cell>
          <cell r="L121">
            <v>398</v>
          </cell>
          <cell r="M121">
            <v>4</v>
          </cell>
          <cell r="N121">
            <v>942</v>
          </cell>
          <cell r="O121">
            <v>1</v>
          </cell>
          <cell r="P121">
            <v>599</v>
          </cell>
          <cell r="Q121">
            <v>1</v>
          </cell>
          <cell r="R121">
            <v>155</v>
          </cell>
          <cell r="S121">
            <v>0</v>
          </cell>
          <cell r="T121">
            <v>21</v>
          </cell>
          <cell r="U121">
            <v>0</v>
          </cell>
        </row>
        <row r="127">
          <cell r="D127">
            <v>227</v>
          </cell>
          <cell r="F127">
            <v>2059</v>
          </cell>
        </row>
        <row r="128">
          <cell r="B128">
            <v>943</v>
          </cell>
          <cell r="L128">
            <v>0</v>
          </cell>
        </row>
        <row r="129">
          <cell r="B129">
            <v>20</v>
          </cell>
          <cell r="L129">
            <v>0</v>
          </cell>
        </row>
        <row r="130">
          <cell r="B130">
            <v>1323</v>
          </cell>
          <cell r="L130">
            <v>22</v>
          </cell>
        </row>
        <row r="135">
          <cell r="D135">
            <v>545</v>
          </cell>
          <cell r="E135">
            <v>1399</v>
          </cell>
        </row>
        <row r="137">
          <cell r="F137">
            <v>1440</v>
          </cell>
          <cell r="G137">
            <v>846</v>
          </cell>
          <cell r="H137">
            <v>0</v>
          </cell>
        </row>
        <row r="197">
          <cell r="C197">
            <v>5</v>
          </cell>
          <cell r="D197">
            <v>231</v>
          </cell>
          <cell r="E197">
            <v>411</v>
          </cell>
          <cell r="F197">
            <v>372</v>
          </cell>
          <cell r="G197">
            <v>269</v>
          </cell>
          <cell r="H197">
            <v>146</v>
          </cell>
          <cell r="I197">
            <v>36</v>
          </cell>
          <cell r="J197">
            <v>3</v>
          </cell>
        </row>
        <row r="198">
          <cell r="C198">
            <v>1</v>
          </cell>
          <cell r="D198">
            <v>17</v>
          </cell>
          <cell r="E198">
            <v>37</v>
          </cell>
          <cell r="F198">
            <v>47</v>
          </cell>
          <cell r="G198">
            <v>46</v>
          </cell>
          <cell r="H198">
            <v>23</v>
          </cell>
          <cell r="I198">
            <v>11</v>
          </cell>
          <cell r="J198">
            <v>3</v>
          </cell>
        </row>
        <row r="216">
          <cell r="D216">
            <v>0</v>
          </cell>
          <cell r="E216">
            <v>2</v>
          </cell>
          <cell r="F216">
            <v>0</v>
          </cell>
          <cell r="G216">
            <v>1</v>
          </cell>
          <cell r="H216">
            <v>3</v>
          </cell>
          <cell r="I216">
            <v>0</v>
          </cell>
          <cell r="J216">
            <v>49</v>
          </cell>
          <cell r="K216">
            <v>2</v>
          </cell>
          <cell r="L216">
            <v>248</v>
          </cell>
          <cell r="M216">
            <v>1</v>
          </cell>
          <cell r="N216">
            <v>648</v>
          </cell>
          <cell r="O216">
            <v>1</v>
          </cell>
          <cell r="P216">
            <v>415</v>
          </cell>
          <cell r="Q216">
            <v>0</v>
          </cell>
          <cell r="R216">
            <v>100</v>
          </cell>
          <cell r="S216">
            <v>0</v>
          </cell>
          <cell r="T216">
            <v>11</v>
          </cell>
          <cell r="U216">
            <v>0</v>
          </cell>
        </row>
        <row r="222">
          <cell r="D222">
            <v>79</v>
          </cell>
          <cell r="F222">
            <v>1394</v>
          </cell>
        </row>
        <row r="223">
          <cell r="B223">
            <v>591</v>
          </cell>
          <cell r="L223">
            <v>1</v>
          </cell>
        </row>
        <row r="224">
          <cell r="B224">
            <v>44</v>
          </cell>
          <cell r="L224">
            <v>0</v>
          </cell>
        </row>
        <row r="225">
          <cell r="B225">
            <v>838</v>
          </cell>
          <cell r="L225">
            <v>7</v>
          </cell>
        </row>
        <row r="230">
          <cell r="D230">
            <v>334</v>
          </cell>
          <cell r="E230">
            <v>849</v>
          </cell>
        </row>
        <row r="232">
          <cell r="F232">
            <v>987</v>
          </cell>
          <cell r="G232">
            <v>486</v>
          </cell>
          <cell r="H232">
            <v>0</v>
          </cell>
        </row>
        <row r="292">
          <cell r="C292">
            <v>0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  <cell r="H292">
            <v>2</v>
          </cell>
          <cell r="I292">
            <v>0</v>
          </cell>
          <cell r="J292">
            <v>0</v>
          </cell>
        </row>
        <row r="293">
          <cell r="C293">
            <v>0</v>
          </cell>
          <cell r="D293">
            <v>0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</row>
        <row r="311">
          <cell r="D311">
            <v>0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2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</row>
        <row r="317">
          <cell r="D317">
            <v>0</v>
          </cell>
          <cell r="F317">
            <v>2</v>
          </cell>
        </row>
        <row r="318">
          <cell r="B318">
            <v>2</v>
          </cell>
          <cell r="L318">
            <v>0</v>
          </cell>
        </row>
        <row r="319">
          <cell r="B319">
            <v>0</v>
          </cell>
          <cell r="L319">
            <v>0</v>
          </cell>
        </row>
        <row r="320">
          <cell r="B320">
            <v>0</v>
          </cell>
          <cell r="L320">
            <v>0</v>
          </cell>
        </row>
        <row r="325">
          <cell r="D325">
            <v>0</v>
          </cell>
        </row>
        <row r="327">
          <cell r="E327">
            <v>2</v>
          </cell>
          <cell r="F327">
            <v>0</v>
          </cell>
          <cell r="G327">
            <v>2</v>
          </cell>
          <cell r="H327">
            <v>0</v>
          </cell>
        </row>
        <row r="387">
          <cell r="C387">
            <v>0</v>
          </cell>
          <cell r="D387">
            <v>5</v>
          </cell>
          <cell r="E387">
            <v>7</v>
          </cell>
          <cell r="F387">
            <v>5</v>
          </cell>
          <cell r="G387">
            <v>6</v>
          </cell>
          <cell r="H387">
            <v>8</v>
          </cell>
          <cell r="I387">
            <v>0</v>
          </cell>
          <cell r="J387">
            <v>0</v>
          </cell>
        </row>
        <row r="388">
          <cell r="C388">
            <v>0</v>
          </cell>
          <cell r="D388">
            <v>0</v>
          </cell>
          <cell r="E388">
            <v>0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</row>
        <row r="406">
          <cell r="D406">
            <v>0</v>
          </cell>
          <cell r="E406">
            <v>0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1</v>
          </cell>
          <cell r="K406">
            <v>0</v>
          </cell>
          <cell r="L406">
            <v>5</v>
          </cell>
          <cell r="M406">
            <v>0</v>
          </cell>
          <cell r="N406">
            <v>13</v>
          </cell>
          <cell r="O406">
            <v>0</v>
          </cell>
          <cell r="P406">
            <v>11</v>
          </cell>
          <cell r="Q406">
            <v>0</v>
          </cell>
          <cell r="R406">
            <v>1</v>
          </cell>
          <cell r="S406">
            <v>0</v>
          </cell>
          <cell r="T406">
            <v>0</v>
          </cell>
          <cell r="U406">
            <v>0</v>
          </cell>
        </row>
        <row r="412">
          <cell r="D412">
            <v>0</v>
          </cell>
          <cell r="F412">
            <v>31</v>
          </cell>
        </row>
        <row r="413">
          <cell r="B413">
            <v>3</v>
          </cell>
          <cell r="L413">
            <v>0</v>
          </cell>
        </row>
        <row r="414">
          <cell r="B414">
            <v>0</v>
          </cell>
          <cell r="L414">
            <v>0</v>
          </cell>
        </row>
        <row r="415">
          <cell r="B415">
            <v>28</v>
          </cell>
          <cell r="L415">
            <v>0</v>
          </cell>
        </row>
        <row r="422">
          <cell r="F422">
            <v>31</v>
          </cell>
          <cell r="G422">
            <v>0</v>
          </cell>
          <cell r="H422">
            <v>0</v>
          </cell>
        </row>
      </sheetData>
      <sheetData sheetId="13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n Cumplimiento Actividad"/>
      <sheetName val="Resumen Cumplimiento PP"/>
      <sheetName val="HOSLA"/>
    </sheetNames>
    <sheetDataSet>
      <sheetData sheetId="0"/>
      <sheetData sheetId="1"/>
      <sheetData sheetId="2">
        <row r="581">
          <cell r="E581">
            <v>477</v>
          </cell>
        </row>
        <row r="610">
          <cell r="E610">
            <v>0</v>
          </cell>
        </row>
        <row r="633">
          <cell r="E633">
            <v>425</v>
          </cell>
        </row>
        <row r="652">
          <cell r="E652">
            <v>838</v>
          </cell>
        </row>
        <row r="655">
          <cell r="E655">
            <v>2403</v>
          </cell>
        </row>
        <row r="662">
          <cell r="E662">
            <v>852</v>
          </cell>
        </row>
        <row r="671">
          <cell r="E671">
            <v>4690</v>
          </cell>
        </row>
        <row r="676">
          <cell r="E676">
            <v>1392</v>
          </cell>
        </row>
        <row r="696">
          <cell r="E696">
            <v>0</v>
          </cell>
        </row>
        <row r="706">
          <cell r="E706">
            <v>0</v>
          </cell>
        </row>
        <row r="713">
          <cell r="E713">
            <v>0</v>
          </cell>
        </row>
        <row r="718">
          <cell r="E718">
            <v>212</v>
          </cell>
        </row>
        <row r="723">
          <cell r="E723">
            <v>36</v>
          </cell>
        </row>
        <row r="735">
          <cell r="E735">
            <v>0</v>
          </cell>
        </row>
        <row r="749">
          <cell r="E749">
            <v>0</v>
          </cell>
        </row>
        <row r="755">
          <cell r="E755">
            <v>126</v>
          </cell>
        </row>
        <row r="771">
          <cell r="E771">
            <v>11</v>
          </cell>
        </row>
        <row r="782">
          <cell r="E782">
            <v>1547</v>
          </cell>
        </row>
        <row r="789">
          <cell r="E789">
            <v>0</v>
          </cell>
        </row>
        <row r="793">
          <cell r="E793">
            <v>515</v>
          </cell>
        </row>
        <row r="798">
          <cell r="E798">
            <v>34</v>
          </cell>
        </row>
        <row r="808">
          <cell r="E808">
            <v>142</v>
          </cell>
        </row>
        <row r="812">
          <cell r="E812">
            <v>71</v>
          </cell>
        </row>
        <row r="821">
          <cell r="E821">
            <v>1629</v>
          </cell>
        </row>
        <row r="832">
          <cell r="E832">
            <v>0</v>
          </cell>
        </row>
        <row r="836">
          <cell r="E836">
            <v>0</v>
          </cell>
        </row>
        <row r="841">
          <cell r="E841">
            <v>0</v>
          </cell>
        </row>
        <row r="846">
          <cell r="E846">
            <v>0</v>
          </cell>
        </row>
        <row r="851">
          <cell r="E851">
            <v>0</v>
          </cell>
        </row>
        <row r="857">
          <cell r="E857">
            <v>0</v>
          </cell>
        </row>
        <row r="862">
          <cell r="E862">
            <v>1612</v>
          </cell>
        </row>
        <row r="867">
          <cell r="E867">
            <v>1537</v>
          </cell>
        </row>
        <row r="876">
          <cell r="E876">
            <v>1532</v>
          </cell>
        </row>
        <row r="882">
          <cell r="E882">
            <v>668</v>
          </cell>
        </row>
        <row r="885">
          <cell r="E885">
            <v>369</v>
          </cell>
        </row>
        <row r="889">
          <cell r="E889">
            <v>0</v>
          </cell>
        </row>
        <row r="898">
          <cell r="E898">
            <v>140</v>
          </cell>
        </row>
        <row r="901">
          <cell r="E901">
            <v>0</v>
          </cell>
        </row>
        <row r="908">
          <cell r="E908">
            <v>3</v>
          </cell>
        </row>
        <row r="918">
          <cell r="E918">
            <v>0</v>
          </cell>
        </row>
        <row r="922">
          <cell r="E922">
            <v>0</v>
          </cell>
        </row>
        <row r="941">
          <cell r="E941">
            <v>3</v>
          </cell>
        </row>
        <row r="949">
          <cell r="E949">
            <v>0</v>
          </cell>
        </row>
        <row r="953">
          <cell r="E953">
            <v>4</v>
          </cell>
        </row>
        <row r="954">
          <cell r="D954">
            <v>0</v>
          </cell>
        </row>
        <row r="956">
          <cell r="E956">
            <v>2</v>
          </cell>
        </row>
        <row r="960">
          <cell r="E960">
            <v>0</v>
          </cell>
        </row>
        <row r="966">
          <cell r="E966">
            <v>0</v>
          </cell>
        </row>
        <row r="974">
          <cell r="E974">
            <v>4933</v>
          </cell>
        </row>
        <row r="977">
          <cell r="E977">
            <v>0</v>
          </cell>
        </row>
        <row r="982">
          <cell r="E982">
            <v>526</v>
          </cell>
        </row>
        <row r="985">
          <cell r="E985">
            <v>0</v>
          </cell>
        </row>
        <row r="1011">
          <cell r="E1011">
            <v>0</v>
          </cell>
        </row>
        <row r="1014">
          <cell r="E1014">
            <v>0</v>
          </cell>
        </row>
        <row r="1022">
          <cell r="E1022">
            <v>0</v>
          </cell>
        </row>
        <row r="1027">
          <cell r="E1027">
            <v>0</v>
          </cell>
        </row>
        <row r="1035">
          <cell r="E1035">
            <v>0</v>
          </cell>
        </row>
        <row r="1038">
          <cell r="E1038">
            <v>1351</v>
          </cell>
        </row>
        <row r="1042">
          <cell r="E1042">
            <v>0</v>
          </cell>
        </row>
        <row r="1046">
          <cell r="E1046">
            <v>3</v>
          </cell>
        </row>
        <row r="1050">
          <cell r="E1050">
            <v>54</v>
          </cell>
        </row>
        <row r="1053">
          <cell r="E1053">
            <v>423</v>
          </cell>
        </row>
        <row r="1057">
          <cell r="E1057">
            <v>1</v>
          </cell>
        </row>
        <row r="1060">
          <cell r="E1060">
            <v>0</v>
          </cell>
        </row>
        <row r="1066">
          <cell r="E1066">
            <v>4</v>
          </cell>
        </row>
        <row r="1072">
          <cell r="E1072">
            <v>15</v>
          </cell>
        </row>
        <row r="1077">
          <cell r="E1077">
            <v>58</v>
          </cell>
        </row>
        <row r="1087">
          <cell r="E1087">
            <v>0</v>
          </cell>
        </row>
        <row r="1099">
          <cell r="E1099">
            <v>31</v>
          </cell>
        </row>
        <row r="1115">
          <cell r="E1115">
            <v>0</v>
          </cell>
        </row>
        <row r="1123">
          <cell r="E1123">
            <v>0</v>
          </cell>
        </row>
        <row r="1130">
          <cell r="E1130">
            <v>0</v>
          </cell>
        </row>
        <row r="1134">
          <cell r="E1134">
            <v>0</v>
          </cell>
        </row>
        <row r="1138">
          <cell r="E1138">
            <v>0</v>
          </cell>
        </row>
        <row r="1145">
          <cell r="E1145">
            <v>1172</v>
          </cell>
        </row>
        <row r="1154">
          <cell r="E1154">
            <v>0</v>
          </cell>
        </row>
        <row r="1161">
          <cell r="E1161">
            <v>6</v>
          </cell>
        </row>
      </sheetData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n Cumplimiento Actividad"/>
      <sheetName val="Resumen Cumplimiento PP"/>
      <sheetName val="LLAY-LLAY"/>
    </sheetNames>
    <sheetDataSet>
      <sheetData sheetId="0"/>
      <sheetData sheetId="1"/>
      <sheetData sheetId="2">
        <row r="652">
          <cell r="E652">
            <v>257</v>
          </cell>
        </row>
        <row r="655">
          <cell r="E655">
            <v>608</v>
          </cell>
        </row>
      </sheetData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n Cumplimiento Actividad"/>
      <sheetName val="Resumen Cumplimiento PP"/>
      <sheetName val="HPUT"/>
    </sheetNames>
    <sheetDataSet>
      <sheetData sheetId="0"/>
      <sheetData sheetId="1"/>
      <sheetData sheetId="2">
        <row r="655">
          <cell r="E655">
            <v>156</v>
          </cell>
        </row>
      </sheetData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n Cumplimiento Actividad"/>
      <sheetName val="Resumen Cumplimiento PP"/>
      <sheetName val="PSIQ."/>
    </sheetNames>
    <sheetDataSet>
      <sheetData sheetId="0"/>
      <sheetData sheetId="1"/>
      <sheetData sheetId="2">
        <row r="749">
          <cell r="E749">
            <v>575</v>
          </cell>
        </row>
        <row r="857">
          <cell r="E857">
            <v>3855</v>
          </cell>
        </row>
        <row r="1130">
          <cell r="E1130">
            <v>146</v>
          </cell>
        </row>
      </sheetData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D15"/>
      <sheetName val="D16"/>
      <sheetName val="Control"/>
      <sheetName val="MACROS"/>
    </sheetNames>
    <sheetDataSet>
      <sheetData sheetId="0"/>
      <sheetData sheetId="1">
        <row r="13">
          <cell r="C13">
            <v>57095</v>
          </cell>
        </row>
        <row r="14">
          <cell r="C14">
            <v>120442</v>
          </cell>
        </row>
        <row r="15">
          <cell r="C15">
            <v>29273</v>
          </cell>
        </row>
        <row r="18">
          <cell r="C18">
            <v>415</v>
          </cell>
        </row>
        <row r="19">
          <cell r="C19">
            <v>318</v>
          </cell>
        </row>
        <row r="20">
          <cell r="C20">
            <v>571</v>
          </cell>
        </row>
        <row r="21">
          <cell r="C21">
            <v>5073</v>
          </cell>
        </row>
        <row r="24">
          <cell r="C24">
            <v>3751</v>
          </cell>
        </row>
        <row r="25">
          <cell r="C25">
            <v>3187</v>
          </cell>
        </row>
        <row r="26">
          <cell r="C26">
            <v>5771</v>
          </cell>
        </row>
        <row r="67">
          <cell r="C67">
            <v>1</v>
          </cell>
        </row>
        <row r="68">
          <cell r="C68">
            <v>8344</v>
          </cell>
        </row>
        <row r="69">
          <cell r="C69">
            <v>1176</v>
          </cell>
        </row>
        <row r="72">
          <cell r="C72">
            <v>4546</v>
          </cell>
        </row>
        <row r="73">
          <cell r="C73">
            <v>8344</v>
          </cell>
        </row>
        <row r="74">
          <cell r="C74">
            <v>0</v>
          </cell>
        </row>
        <row r="75">
          <cell r="C75">
            <v>0</v>
          </cell>
        </row>
        <row r="78">
          <cell r="C78">
            <v>2</v>
          </cell>
        </row>
        <row r="79">
          <cell r="C79">
            <v>0</v>
          </cell>
        </row>
        <row r="80">
          <cell r="C80">
            <v>0</v>
          </cell>
        </row>
      </sheetData>
      <sheetData sheetId="2">
        <row r="27">
          <cell r="F27">
            <v>80348</v>
          </cell>
        </row>
        <row r="28">
          <cell r="F28">
            <v>80348</v>
          </cell>
        </row>
      </sheetData>
      <sheetData sheetId="3"/>
      <sheetData sheetId="4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D15"/>
      <sheetName val="D16"/>
      <sheetName val="Control"/>
      <sheetName val="MACROS"/>
    </sheetNames>
    <sheetDataSet>
      <sheetData sheetId="0"/>
      <sheetData sheetId="1">
        <row r="35">
          <cell r="C35">
            <v>542</v>
          </cell>
        </row>
        <row r="36">
          <cell r="C36">
            <v>77</v>
          </cell>
        </row>
        <row r="90">
          <cell r="C90">
            <v>2</v>
          </cell>
        </row>
      </sheetData>
      <sheetData sheetId="2"/>
      <sheetData sheetId="3"/>
      <sheetData sheetId="4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contro"/>
      <sheetName val="MACR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37">
          <cell r="E37">
            <v>115</v>
          </cell>
          <cell r="F37">
            <v>94</v>
          </cell>
          <cell r="G37">
            <v>150</v>
          </cell>
          <cell r="H37">
            <v>208</v>
          </cell>
          <cell r="I37">
            <v>401</v>
          </cell>
          <cell r="J37">
            <v>447</v>
          </cell>
          <cell r="K37">
            <v>2064</v>
          </cell>
          <cell r="L37">
            <v>455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contro"/>
      <sheetName val="MACR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37">
          <cell r="E37">
            <v>117</v>
          </cell>
          <cell r="F37">
            <v>24</v>
          </cell>
          <cell r="G37">
            <v>128</v>
          </cell>
          <cell r="H37">
            <v>198</v>
          </cell>
          <cell r="I37">
            <v>229</v>
          </cell>
          <cell r="J37">
            <v>286</v>
          </cell>
          <cell r="K37">
            <v>633</v>
          </cell>
          <cell r="L37">
            <v>242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</sheetNames>
    <sheetDataSet>
      <sheetData sheetId="0">
        <row r="12">
          <cell r="E12">
            <v>3390</v>
          </cell>
          <cell r="F12">
            <v>3244</v>
          </cell>
          <cell r="G12">
            <v>2954</v>
          </cell>
          <cell r="H12">
            <v>3022</v>
          </cell>
          <cell r="I12">
            <v>3281</v>
          </cell>
          <cell r="K12">
            <v>1511</v>
          </cell>
          <cell r="L12">
            <v>4765</v>
          </cell>
          <cell r="M12">
            <v>8376</v>
          </cell>
          <cell r="N12">
            <v>3033</v>
          </cell>
          <cell r="O12">
            <v>0</v>
          </cell>
          <cell r="P12">
            <v>5620</v>
          </cell>
          <cell r="Q12">
            <v>2494</v>
          </cell>
          <cell r="R12">
            <v>2</v>
          </cell>
          <cell r="S12">
            <v>3052</v>
          </cell>
          <cell r="T12">
            <v>3348</v>
          </cell>
        </row>
        <row r="13">
          <cell r="E13">
            <v>2187</v>
          </cell>
          <cell r="F13">
            <v>1235</v>
          </cell>
          <cell r="G13">
            <v>1572</v>
          </cell>
          <cell r="H13">
            <v>1528</v>
          </cell>
          <cell r="I13">
            <v>2180</v>
          </cell>
          <cell r="K13">
            <v>1026</v>
          </cell>
          <cell r="L13">
            <v>2082</v>
          </cell>
          <cell r="M13">
            <v>3733</v>
          </cell>
          <cell r="N13">
            <v>1843</v>
          </cell>
          <cell r="O13">
            <v>1</v>
          </cell>
          <cell r="P13">
            <v>2459</v>
          </cell>
          <cell r="Q13">
            <v>1539</v>
          </cell>
          <cell r="R13">
            <v>3</v>
          </cell>
          <cell r="S13">
            <v>2043</v>
          </cell>
          <cell r="T13">
            <v>2101</v>
          </cell>
        </row>
        <row r="14">
          <cell r="E14">
            <v>8982</v>
          </cell>
          <cell r="F14">
            <v>7677</v>
          </cell>
          <cell r="G14">
            <v>6909</v>
          </cell>
          <cell r="H14">
            <v>6015</v>
          </cell>
          <cell r="I14">
            <v>8281</v>
          </cell>
          <cell r="K14">
            <v>4173</v>
          </cell>
          <cell r="L14">
            <v>10045</v>
          </cell>
          <cell r="M14">
            <v>18434</v>
          </cell>
          <cell r="N14">
            <v>7771</v>
          </cell>
          <cell r="O14">
            <v>291</v>
          </cell>
          <cell r="P14">
            <v>11172</v>
          </cell>
          <cell r="Q14">
            <v>6370</v>
          </cell>
          <cell r="R14">
            <v>345</v>
          </cell>
          <cell r="S14">
            <v>9452</v>
          </cell>
          <cell r="T14">
            <v>8381</v>
          </cell>
        </row>
        <row r="15">
          <cell r="E15">
            <v>4912</v>
          </cell>
          <cell r="F15">
            <v>3912</v>
          </cell>
          <cell r="G15">
            <v>2482</v>
          </cell>
          <cell r="H15">
            <v>1666</v>
          </cell>
          <cell r="I15">
            <v>2769</v>
          </cell>
          <cell r="K15">
            <v>1444</v>
          </cell>
          <cell r="L15">
            <v>4367</v>
          </cell>
          <cell r="M15">
            <v>8558</v>
          </cell>
          <cell r="N15">
            <v>2525</v>
          </cell>
          <cell r="O15">
            <v>104</v>
          </cell>
          <cell r="P15">
            <v>4058</v>
          </cell>
          <cell r="Q15">
            <v>1982</v>
          </cell>
          <cell r="R15">
            <v>1</v>
          </cell>
          <cell r="S15">
            <v>4235</v>
          </cell>
          <cell r="T15">
            <v>2777</v>
          </cell>
        </row>
        <row r="20">
          <cell r="E20">
            <v>1017</v>
          </cell>
          <cell r="F20">
            <v>1849</v>
          </cell>
          <cell r="G20">
            <v>165</v>
          </cell>
          <cell r="H20">
            <v>602</v>
          </cell>
          <cell r="I20">
            <v>589</v>
          </cell>
          <cell r="K20">
            <v>122</v>
          </cell>
          <cell r="L20">
            <v>1569</v>
          </cell>
          <cell r="M20">
            <v>2475</v>
          </cell>
          <cell r="N20">
            <v>581</v>
          </cell>
          <cell r="P20">
            <v>1251</v>
          </cell>
          <cell r="Q20">
            <v>545</v>
          </cell>
          <cell r="S20">
            <v>2091</v>
          </cell>
          <cell r="T20">
            <v>305</v>
          </cell>
        </row>
        <row r="21">
          <cell r="E21">
            <v>113</v>
          </cell>
          <cell r="F21">
            <v>0</v>
          </cell>
          <cell r="H21">
            <v>16</v>
          </cell>
          <cell r="I21">
            <v>40</v>
          </cell>
          <cell r="L21">
            <v>880</v>
          </cell>
          <cell r="N21">
            <v>8</v>
          </cell>
          <cell r="P21">
            <v>57</v>
          </cell>
          <cell r="Q21">
            <v>276</v>
          </cell>
          <cell r="S21">
            <v>12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e"/>
      <sheetName val="feb"/>
      <sheetName val="mar"/>
      <sheetName val="abr"/>
      <sheetName val="mayo"/>
      <sheetName val="junio"/>
      <sheetName val="julio"/>
      <sheetName val="agosto"/>
      <sheetName val="sept"/>
      <sheetName val="oct"/>
      <sheetName val="nov"/>
      <sheetName val="dic"/>
      <sheetName val="con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5">
          <cell r="D5">
            <v>62</v>
          </cell>
          <cell r="E5">
            <v>1</v>
          </cell>
          <cell r="F5">
            <v>76</v>
          </cell>
          <cell r="G5">
            <v>9</v>
          </cell>
          <cell r="H5">
            <v>58</v>
          </cell>
          <cell r="I5">
            <v>0</v>
          </cell>
          <cell r="J5">
            <v>26</v>
          </cell>
          <cell r="K5">
            <v>0</v>
          </cell>
          <cell r="L5">
            <v>49</v>
          </cell>
          <cell r="M5">
            <v>0</v>
          </cell>
          <cell r="N5">
            <v>20</v>
          </cell>
          <cell r="O5">
            <v>2</v>
          </cell>
          <cell r="P5">
            <v>144</v>
          </cell>
          <cell r="Q5">
            <v>0</v>
          </cell>
          <cell r="R5">
            <v>229</v>
          </cell>
          <cell r="S5">
            <v>0</v>
          </cell>
          <cell r="T5">
            <v>37</v>
          </cell>
          <cell r="U5">
            <v>0</v>
          </cell>
          <cell r="V5">
            <v>149</v>
          </cell>
          <cell r="W5">
            <v>2</v>
          </cell>
          <cell r="X5">
            <v>14</v>
          </cell>
          <cell r="Y5">
            <v>2</v>
          </cell>
          <cell r="Z5">
            <v>63</v>
          </cell>
          <cell r="AA5">
            <v>0</v>
          </cell>
          <cell r="AB5">
            <v>75</v>
          </cell>
          <cell r="AC5">
            <v>0</v>
          </cell>
        </row>
        <row r="6">
          <cell r="D6">
            <v>0</v>
          </cell>
          <cell r="E6">
            <v>455</v>
          </cell>
          <cell r="F6">
            <v>0</v>
          </cell>
          <cell r="G6">
            <v>409</v>
          </cell>
          <cell r="H6">
            <v>0</v>
          </cell>
          <cell r="I6">
            <v>323</v>
          </cell>
          <cell r="J6">
            <v>0</v>
          </cell>
          <cell r="K6">
            <v>102</v>
          </cell>
          <cell r="L6">
            <v>13</v>
          </cell>
          <cell r="M6">
            <v>211</v>
          </cell>
          <cell r="N6">
            <v>0</v>
          </cell>
          <cell r="O6">
            <v>92</v>
          </cell>
          <cell r="P6">
            <v>0</v>
          </cell>
          <cell r="Q6">
            <v>752</v>
          </cell>
          <cell r="R6">
            <v>2</v>
          </cell>
          <cell r="S6">
            <v>938</v>
          </cell>
          <cell r="T6">
            <v>0</v>
          </cell>
          <cell r="U6">
            <v>212</v>
          </cell>
          <cell r="V6">
            <v>8</v>
          </cell>
          <cell r="W6">
            <v>691</v>
          </cell>
          <cell r="X6">
            <v>1</v>
          </cell>
          <cell r="Y6">
            <v>192</v>
          </cell>
          <cell r="Z6">
            <v>0</v>
          </cell>
          <cell r="AA6">
            <v>435</v>
          </cell>
          <cell r="AB6">
            <v>0</v>
          </cell>
          <cell r="AC6">
            <v>330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</row>
        <row r="8">
          <cell r="D8">
            <v>5</v>
          </cell>
          <cell r="E8">
            <v>6</v>
          </cell>
          <cell r="F8">
            <v>0</v>
          </cell>
          <cell r="G8">
            <v>6</v>
          </cell>
          <cell r="H8">
            <v>0</v>
          </cell>
          <cell r="I8">
            <v>0</v>
          </cell>
          <cell r="J8">
            <v>2</v>
          </cell>
          <cell r="K8">
            <v>4</v>
          </cell>
          <cell r="L8">
            <v>0</v>
          </cell>
          <cell r="M8">
            <v>2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</row>
        <row r="9">
          <cell r="D9">
            <v>0</v>
          </cell>
          <cell r="E9">
            <v>0</v>
          </cell>
          <cell r="F9">
            <v>3</v>
          </cell>
          <cell r="G9">
            <v>0</v>
          </cell>
          <cell r="H9">
            <v>0</v>
          </cell>
          <cell r="I9">
            <v>0</v>
          </cell>
          <cell r="J9">
            <v>17</v>
          </cell>
          <cell r="K9">
            <v>23</v>
          </cell>
          <cell r="L9">
            <v>0</v>
          </cell>
          <cell r="M9">
            <v>2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2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1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5</v>
          </cell>
          <cell r="K10">
            <v>12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6</v>
          </cell>
          <cell r="K11">
            <v>14</v>
          </cell>
          <cell r="L11">
            <v>0</v>
          </cell>
          <cell r="M11">
            <v>2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1</v>
          </cell>
          <cell r="H13">
            <v>0</v>
          </cell>
          <cell r="I13">
            <v>0</v>
          </cell>
          <cell r="J13">
            <v>0</v>
          </cell>
          <cell r="K13">
            <v>2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9</v>
          </cell>
          <cell r="L15">
            <v>0</v>
          </cell>
          <cell r="M15">
            <v>0</v>
          </cell>
          <cell r="N15">
            <v>1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1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2</v>
          </cell>
          <cell r="K17">
            <v>7</v>
          </cell>
          <cell r="L17">
            <v>0</v>
          </cell>
          <cell r="M17">
            <v>3</v>
          </cell>
          <cell r="N17">
            <v>0</v>
          </cell>
          <cell r="O17">
            <v>2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3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1</v>
          </cell>
          <cell r="AA17">
            <v>19</v>
          </cell>
          <cell r="AB17">
            <v>0</v>
          </cell>
          <cell r="AC17">
            <v>7</v>
          </cell>
        </row>
        <row r="18">
          <cell r="D18">
            <v>23</v>
          </cell>
          <cell r="E18">
            <v>103</v>
          </cell>
          <cell r="F18">
            <v>45</v>
          </cell>
          <cell r="G18">
            <v>126</v>
          </cell>
          <cell r="H18">
            <v>23</v>
          </cell>
          <cell r="I18">
            <v>78</v>
          </cell>
          <cell r="J18">
            <v>21</v>
          </cell>
          <cell r="K18">
            <v>59</v>
          </cell>
          <cell r="L18">
            <v>0</v>
          </cell>
          <cell r="M18">
            <v>52</v>
          </cell>
          <cell r="N18">
            <v>11</v>
          </cell>
          <cell r="O18">
            <v>34</v>
          </cell>
          <cell r="P18">
            <v>69</v>
          </cell>
          <cell r="Q18">
            <v>214</v>
          </cell>
          <cell r="R18">
            <v>88</v>
          </cell>
          <cell r="S18">
            <v>217</v>
          </cell>
          <cell r="T18">
            <v>33</v>
          </cell>
          <cell r="U18">
            <v>73</v>
          </cell>
          <cell r="V18">
            <v>86</v>
          </cell>
          <cell r="W18">
            <v>164</v>
          </cell>
          <cell r="X18">
            <v>10</v>
          </cell>
          <cell r="Y18">
            <v>20</v>
          </cell>
          <cell r="Z18">
            <v>29</v>
          </cell>
          <cell r="AA18">
            <v>107</v>
          </cell>
          <cell r="AB18">
            <v>40</v>
          </cell>
          <cell r="AC18">
            <v>116</v>
          </cell>
        </row>
        <row r="19">
          <cell r="D19">
            <v>0</v>
          </cell>
          <cell r="E19">
            <v>14</v>
          </cell>
          <cell r="F19">
            <v>0</v>
          </cell>
          <cell r="G19">
            <v>3</v>
          </cell>
          <cell r="H19">
            <v>0</v>
          </cell>
          <cell r="I19">
            <v>0</v>
          </cell>
          <cell r="J19">
            <v>0</v>
          </cell>
          <cell r="K19">
            <v>3</v>
          </cell>
          <cell r="L19">
            <v>0</v>
          </cell>
          <cell r="M19">
            <v>14</v>
          </cell>
          <cell r="N19">
            <v>0</v>
          </cell>
          <cell r="O19">
            <v>1</v>
          </cell>
          <cell r="P19">
            <v>0</v>
          </cell>
          <cell r="Q19">
            <v>0</v>
          </cell>
          <cell r="R19">
            <v>0</v>
          </cell>
          <cell r="S19">
            <v>4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</row>
        <row r="21"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4</v>
          </cell>
          <cell r="H22">
            <v>2</v>
          </cell>
          <cell r="I22">
            <v>3</v>
          </cell>
          <cell r="J22">
            <v>0</v>
          </cell>
          <cell r="K22">
            <v>1</v>
          </cell>
          <cell r="L22">
            <v>0</v>
          </cell>
          <cell r="M22">
            <v>1</v>
          </cell>
          <cell r="N22">
            <v>0</v>
          </cell>
          <cell r="O22">
            <v>4</v>
          </cell>
          <cell r="P22">
            <v>3</v>
          </cell>
          <cell r="Q22">
            <v>2</v>
          </cell>
          <cell r="R22">
            <v>2</v>
          </cell>
          <cell r="S22">
            <v>8</v>
          </cell>
          <cell r="T22">
            <v>0</v>
          </cell>
          <cell r="U22">
            <v>9</v>
          </cell>
          <cell r="V22">
            <v>0</v>
          </cell>
          <cell r="W22">
            <v>2</v>
          </cell>
          <cell r="X22">
            <v>0</v>
          </cell>
          <cell r="Y22">
            <v>2</v>
          </cell>
          <cell r="Z22">
            <v>0</v>
          </cell>
          <cell r="AA22">
            <v>3</v>
          </cell>
          <cell r="AB22">
            <v>1</v>
          </cell>
          <cell r="AC22">
            <v>2</v>
          </cell>
        </row>
        <row r="23">
          <cell r="D23">
            <v>67</v>
          </cell>
          <cell r="E23">
            <v>114</v>
          </cell>
          <cell r="F23">
            <v>55</v>
          </cell>
          <cell r="G23">
            <v>162</v>
          </cell>
          <cell r="H23">
            <v>28</v>
          </cell>
          <cell r="I23">
            <v>98</v>
          </cell>
          <cell r="J23">
            <v>22</v>
          </cell>
          <cell r="K23">
            <v>44</v>
          </cell>
          <cell r="L23">
            <v>11</v>
          </cell>
          <cell r="M23">
            <v>61</v>
          </cell>
          <cell r="N23">
            <v>11</v>
          </cell>
          <cell r="O23">
            <v>28</v>
          </cell>
          <cell r="P23">
            <v>57</v>
          </cell>
          <cell r="Q23">
            <v>207</v>
          </cell>
          <cell r="R23">
            <v>105</v>
          </cell>
          <cell r="S23">
            <v>270</v>
          </cell>
          <cell r="T23">
            <v>19</v>
          </cell>
          <cell r="U23">
            <v>66</v>
          </cell>
          <cell r="V23">
            <v>58</v>
          </cell>
          <cell r="W23">
            <v>155</v>
          </cell>
          <cell r="X23">
            <v>8</v>
          </cell>
          <cell r="Y23">
            <v>36</v>
          </cell>
          <cell r="Z23">
            <v>33</v>
          </cell>
          <cell r="AA23">
            <v>109</v>
          </cell>
          <cell r="AB23">
            <v>35</v>
          </cell>
          <cell r="AC23">
            <v>95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</row>
        <row r="25">
          <cell r="D25">
            <v>14</v>
          </cell>
          <cell r="E25">
            <v>79</v>
          </cell>
          <cell r="F25">
            <v>24</v>
          </cell>
          <cell r="G25">
            <v>58</v>
          </cell>
          <cell r="H25">
            <v>7</v>
          </cell>
          <cell r="I25">
            <v>31</v>
          </cell>
          <cell r="J25">
            <v>8</v>
          </cell>
          <cell r="K25">
            <v>16</v>
          </cell>
          <cell r="L25">
            <v>0</v>
          </cell>
          <cell r="M25">
            <v>0</v>
          </cell>
          <cell r="N25">
            <v>6</v>
          </cell>
          <cell r="O25">
            <v>14</v>
          </cell>
          <cell r="P25">
            <v>25</v>
          </cell>
          <cell r="Q25">
            <v>137</v>
          </cell>
          <cell r="R25">
            <v>39</v>
          </cell>
          <cell r="S25">
            <v>139</v>
          </cell>
          <cell r="T25">
            <v>5</v>
          </cell>
          <cell r="U25">
            <v>38</v>
          </cell>
          <cell r="V25">
            <v>29</v>
          </cell>
          <cell r="W25">
            <v>98</v>
          </cell>
          <cell r="X25">
            <v>7</v>
          </cell>
          <cell r="Y25">
            <v>15</v>
          </cell>
          <cell r="Z25">
            <v>14</v>
          </cell>
          <cell r="AA25">
            <v>47</v>
          </cell>
          <cell r="AB25">
            <v>11</v>
          </cell>
          <cell r="AC25">
            <v>50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2</v>
          </cell>
          <cell r="Q26">
            <v>11</v>
          </cell>
          <cell r="R26">
            <v>0</v>
          </cell>
          <cell r="S26">
            <v>0</v>
          </cell>
          <cell r="T26">
            <v>3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</row>
        <row r="27">
          <cell r="D27">
            <v>92</v>
          </cell>
          <cell r="E27">
            <v>0</v>
          </cell>
          <cell r="F27">
            <v>101</v>
          </cell>
          <cell r="G27">
            <v>0</v>
          </cell>
          <cell r="H27">
            <v>78</v>
          </cell>
          <cell r="I27">
            <v>0</v>
          </cell>
          <cell r="J27">
            <v>34</v>
          </cell>
          <cell r="K27">
            <v>0</v>
          </cell>
          <cell r="L27">
            <v>53</v>
          </cell>
          <cell r="M27">
            <v>0</v>
          </cell>
          <cell r="N27">
            <v>23</v>
          </cell>
          <cell r="O27">
            <v>2</v>
          </cell>
          <cell r="P27">
            <v>112</v>
          </cell>
          <cell r="Q27">
            <v>0</v>
          </cell>
          <cell r="R27">
            <v>138</v>
          </cell>
          <cell r="S27">
            <v>0</v>
          </cell>
          <cell r="T27">
            <v>49</v>
          </cell>
          <cell r="U27">
            <v>0</v>
          </cell>
          <cell r="V27">
            <v>80</v>
          </cell>
          <cell r="W27">
            <v>0</v>
          </cell>
          <cell r="X27">
            <v>51</v>
          </cell>
          <cell r="Y27">
            <v>0</v>
          </cell>
          <cell r="Z27">
            <v>57</v>
          </cell>
          <cell r="AA27">
            <v>0</v>
          </cell>
          <cell r="AB27">
            <v>51</v>
          </cell>
          <cell r="AC27">
            <v>2</v>
          </cell>
        </row>
        <row r="28">
          <cell r="D28">
            <v>0</v>
          </cell>
          <cell r="E28">
            <v>264</v>
          </cell>
          <cell r="F28">
            <v>0</v>
          </cell>
          <cell r="G28">
            <v>206</v>
          </cell>
          <cell r="H28">
            <v>0</v>
          </cell>
          <cell r="I28">
            <v>157</v>
          </cell>
          <cell r="J28">
            <v>0</v>
          </cell>
          <cell r="K28">
            <v>147</v>
          </cell>
          <cell r="L28">
            <v>0</v>
          </cell>
          <cell r="M28">
            <v>122</v>
          </cell>
          <cell r="N28">
            <v>0</v>
          </cell>
          <cell r="O28">
            <v>62</v>
          </cell>
          <cell r="P28">
            <v>0</v>
          </cell>
          <cell r="Q28">
            <v>299</v>
          </cell>
          <cell r="R28">
            <v>0</v>
          </cell>
          <cell r="S28">
            <v>598</v>
          </cell>
          <cell r="T28">
            <v>0</v>
          </cell>
          <cell r="U28">
            <v>183</v>
          </cell>
          <cell r="V28">
            <v>0</v>
          </cell>
          <cell r="W28">
            <v>435</v>
          </cell>
          <cell r="X28">
            <v>0</v>
          </cell>
          <cell r="Y28">
            <v>97</v>
          </cell>
          <cell r="Z28">
            <v>0</v>
          </cell>
          <cell r="AA28">
            <v>192</v>
          </cell>
          <cell r="AB28">
            <v>0</v>
          </cell>
          <cell r="AC28">
            <v>320</v>
          </cell>
        </row>
        <row r="29"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15</v>
          </cell>
          <cell r="J30">
            <v>0</v>
          </cell>
          <cell r="K30">
            <v>41</v>
          </cell>
          <cell r="L30">
            <v>0</v>
          </cell>
          <cell r="M30">
            <v>41</v>
          </cell>
          <cell r="N30">
            <v>0</v>
          </cell>
          <cell r="O30">
            <v>0</v>
          </cell>
          <cell r="P30">
            <v>0</v>
          </cell>
          <cell r="Q30">
            <v>7</v>
          </cell>
          <cell r="R30">
            <v>0</v>
          </cell>
          <cell r="S30">
            <v>0</v>
          </cell>
          <cell r="T30">
            <v>0</v>
          </cell>
          <cell r="U30">
            <v>6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4</v>
          </cell>
          <cell r="AB30">
            <v>0</v>
          </cell>
          <cell r="AC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65</v>
          </cell>
          <cell r="J31">
            <v>0</v>
          </cell>
          <cell r="K31">
            <v>7</v>
          </cell>
          <cell r="L31">
            <v>0</v>
          </cell>
          <cell r="M31">
            <v>2</v>
          </cell>
          <cell r="N31">
            <v>0</v>
          </cell>
          <cell r="O31">
            <v>30</v>
          </cell>
          <cell r="P31">
            <v>0</v>
          </cell>
          <cell r="Q31">
            <v>46</v>
          </cell>
          <cell r="R31">
            <v>0</v>
          </cell>
          <cell r="S31">
            <v>0</v>
          </cell>
          <cell r="T31">
            <v>0</v>
          </cell>
          <cell r="U31">
            <v>13</v>
          </cell>
          <cell r="V31">
            <v>0</v>
          </cell>
          <cell r="W31">
            <v>0</v>
          </cell>
          <cell r="X31">
            <v>0</v>
          </cell>
          <cell r="Y31">
            <v>4</v>
          </cell>
          <cell r="Z31">
            <v>0</v>
          </cell>
          <cell r="AA31">
            <v>3</v>
          </cell>
          <cell r="AB31">
            <v>0</v>
          </cell>
          <cell r="AC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20</v>
          </cell>
          <cell r="K32">
            <v>94</v>
          </cell>
          <cell r="L32">
            <v>0</v>
          </cell>
          <cell r="M32">
            <v>108</v>
          </cell>
          <cell r="N32">
            <v>0</v>
          </cell>
          <cell r="O32">
            <v>0</v>
          </cell>
          <cell r="P32">
            <v>38</v>
          </cell>
          <cell r="Q32">
            <v>166</v>
          </cell>
          <cell r="R32">
            <v>13</v>
          </cell>
          <cell r="S32">
            <v>82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15</v>
          </cell>
          <cell r="AB32">
            <v>0</v>
          </cell>
          <cell r="AC32">
            <v>0</v>
          </cell>
        </row>
        <row r="33"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4</v>
          </cell>
          <cell r="H36">
            <v>0</v>
          </cell>
          <cell r="I36">
            <v>0</v>
          </cell>
          <cell r="J36">
            <v>0</v>
          </cell>
          <cell r="K36">
            <v>6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1</v>
          </cell>
          <cell r="R36">
            <v>0</v>
          </cell>
          <cell r="S36">
            <v>1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</row>
        <row r="37">
          <cell r="D37">
            <v>3</v>
          </cell>
          <cell r="E37">
            <v>35</v>
          </cell>
          <cell r="F37">
            <v>0</v>
          </cell>
          <cell r="G37">
            <v>60</v>
          </cell>
          <cell r="H37">
            <v>0</v>
          </cell>
          <cell r="I37">
            <v>15</v>
          </cell>
          <cell r="J37">
            <v>6</v>
          </cell>
          <cell r="K37">
            <v>17</v>
          </cell>
          <cell r="L37">
            <v>1</v>
          </cell>
          <cell r="M37">
            <v>41</v>
          </cell>
          <cell r="N37">
            <v>0</v>
          </cell>
          <cell r="O37">
            <v>9</v>
          </cell>
          <cell r="P37">
            <v>1</v>
          </cell>
          <cell r="Q37">
            <v>86</v>
          </cell>
          <cell r="R37">
            <v>0</v>
          </cell>
          <cell r="S37">
            <v>163</v>
          </cell>
          <cell r="T37">
            <v>4</v>
          </cell>
          <cell r="U37">
            <v>64</v>
          </cell>
          <cell r="V37">
            <v>1</v>
          </cell>
          <cell r="W37">
            <v>122</v>
          </cell>
          <cell r="X37">
            <v>0</v>
          </cell>
          <cell r="Y37">
            <v>28</v>
          </cell>
          <cell r="Z37">
            <v>0</v>
          </cell>
          <cell r="AA37">
            <v>46</v>
          </cell>
          <cell r="AB37">
            <v>3</v>
          </cell>
          <cell r="AC37">
            <v>38</v>
          </cell>
        </row>
        <row r="38"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</row>
        <row r="40">
          <cell r="D40">
            <v>2</v>
          </cell>
          <cell r="E40">
            <v>239</v>
          </cell>
          <cell r="F40">
            <v>0</v>
          </cell>
          <cell r="G40">
            <v>225</v>
          </cell>
          <cell r="H40">
            <v>0</v>
          </cell>
          <cell r="I40">
            <v>105</v>
          </cell>
          <cell r="J40">
            <v>18</v>
          </cell>
          <cell r="K40">
            <v>78</v>
          </cell>
          <cell r="L40">
            <v>0</v>
          </cell>
          <cell r="M40">
            <v>159</v>
          </cell>
          <cell r="N40">
            <v>0</v>
          </cell>
          <cell r="O40">
            <v>42</v>
          </cell>
          <cell r="P40">
            <v>1</v>
          </cell>
          <cell r="Q40">
            <v>193</v>
          </cell>
          <cell r="R40">
            <v>3</v>
          </cell>
          <cell r="S40">
            <v>301</v>
          </cell>
          <cell r="T40">
            <v>0</v>
          </cell>
          <cell r="U40">
            <v>107</v>
          </cell>
          <cell r="V40">
            <v>0</v>
          </cell>
          <cell r="W40">
            <v>156</v>
          </cell>
          <cell r="X40">
            <v>2</v>
          </cell>
          <cell r="Y40">
            <v>67</v>
          </cell>
          <cell r="Z40">
            <v>0</v>
          </cell>
          <cell r="AA40">
            <v>68</v>
          </cell>
          <cell r="AB40">
            <v>0</v>
          </cell>
          <cell r="AC40">
            <v>125</v>
          </cell>
        </row>
        <row r="41">
          <cell r="D41">
            <v>2</v>
          </cell>
          <cell r="E41">
            <v>574</v>
          </cell>
          <cell r="F41">
            <v>0</v>
          </cell>
          <cell r="G41">
            <v>308</v>
          </cell>
          <cell r="H41">
            <v>1</v>
          </cell>
          <cell r="I41">
            <v>113</v>
          </cell>
          <cell r="J41">
            <v>15</v>
          </cell>
          <cell r="K41">
            <v>115</v>
          </cell>
          <cell r="L41">
            <v>0</v>
          </cell>
          <cell r="M41">
            <v>102</v>
          </cell>
          <cell r="N41">
            <v>1</v>
          </cell>
          <cell r="O41">
            <v>167</v>
          </cell>
          <cell r="P41">
            <v>0</v>
          </cell>
          <cell r="Q41">
            <v>236</v>
          </cell>
          <cell r="R41">
            <v>0</v>
          </cell>
          <cell r="S41">
            <v>503</v>
          </cell>
          <cell r="T41">
            <v>0</v>
          </cell>
          <cell r="U41">
            <v>101</v>
          </cell>
          <cell r="V41">
            <v>6</v>
          </cell>
          <cell r="W41">
            <v>256</v>
          </cell>
          <cell r="X41">
            <v>0</v>
          </cell>
          <cell r="Y41">
            <v>38</v>
          </cell>
          <cell r="Z41">
            <v>4</v>
          </cell>
          <cell r="AA41">
            <v>220</v>
          </cell>
          <cell r="AB41">
            <v>1</v>
          </cell>
          <cell r="AC41">
            <v>170</v>
          </cell>
        </row>
        <row r="42">
          <cell r="D42">
            <v>0</v>
          </cell>
          <cell r="E42">
            <v>0</v>
          </cell>
          <cell r="F42">
            <v>0</v>
          </cell>
          <cell r="G42">
            <v>49</v>
          </cell>
          <cell r="H42">
            <v>0</v>
          </cell>
          <cell r="I42">
            <v>21</v>
          </cell>
          <cell r="J42">
            <v>2</v>
          </cell>
          <cell r="K42">
            <v>24</v>
          </cell>
          <cell r="L42">
            <v>0</v>
          </cell>
          <cell r="M42">
            <v>43</v>
          </cell>
          <cell r="N42">
            <v>0</v>
          </cell>
          <cell r="O42">
            <v>1</v>
          </cell>
          <cell r="P42">
            <v>0</v>
          </cell>
          <cell r="Q42">
            <v>37</v>
          </cell>
          <cell r="R42">
            <v>0</v>
          </cell>
          <cell r="S42">
            <v>62</v>
          </cell>
          <cell r="T42">
            <v>0</v>
          </cell>
          <cell r="U42">
            <v>20</v>
          </cell>
          <cell r="V42">
            <v>0</v>
          </cell>
          <cell r="W42">
            <v>0</v>
          </cell>
          <cell r="X42">
            <v>0</v>
          </cell>
          <cell r="Y42">
            <v>10</v>
          </cell>
          <cell r="Z42">
            <v>0</v>
          </cell>
          <cell r="AA42">
            <v>17</v>
          </cell>
          <cell r="AB42">
            <v>0</v>
          </cell>
          <cell r="AC42">
            <v>29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3</v>
          </cell>
          <cell r="I43">
            <v>86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14</v>
          </cell>
          <cell r="R43">
            <v>0</v>
          </cell>
          <cell r="S43">
            <v>140</v>
          </cell>
          <cell r="T43">
            <v>0</v>
          </cell>
          <cell r="U43">
            <v>2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9</v>
          </cell>
          <cell r="AB43">
            <v>0</v>
          </cell>
          <cell r="AC43">
            <v>0</v>
          </cell>
        </row>
        <row r="44">
          <cell r="D44">
            <v>23</v>
          </cell>
          <cell r="E44">
            <v>593</v>
          </cell>
          <cell r="F44">
            <v>47</v>
          </cell>
          <cell r="G44">
            <v>681</v>
          </cell>
          <cell r="H44">
            <v>35</v>
          </cell>
          <cell r="I44">
            <v>517</v>
          </cell>
          <cell r="J44">
            <v>111</v>
          </cell>
          <cell r="K44">
            <v>412</v>
          </cell>
          <cell r="L44">
            <v>0</v>
          </cell>
          <cell r="M44">
            <v>522</v>
          </cell>
          <cell r="N44">
            <v>9</v>
          </cell>
          <cell r="O44">
            <v>205</v>
          </cell>
          <cell r="P44">
            <v>97</v>
          </cell>
          <cell r="Q44">
            <v>842</v>
          </cell>
          <cell r="R44">
            <v>49</v>
          </cell>
          <cell r="S44">
            <v>1383</v>
          </cell>
          <cell r="T44">
            <v>40</v>
          </cell>
          <cell r="U44">
            <v>401</v>
          </cell>
          <cell r="V44">
            <v>60</v>
          </cell>
          <cell r="W44">
            <v>534</v>
          </cell>
          <cell r="X44">
            <v>12</v>
          </cell>
          <cell r="Y44">
            <v>540</v>
          </cell>
          <cell r="Z44">
            <v>57</v>
          </cell>
          <cell r="AA44">
            <v>1156</v>
          </cell>
          <cell r="AB44">
            <v>34</v>
          </cell>
          <cell r="AC44">
            <v>376</v>
          </cell>
        </row>
        <row r="45">
          <cell r="D45">
            <v>0</v>
          </cell>
          <cell r="E45">
            <v>0</v>
          </cell>
          <cell r="F45">
            <v>1</v>
          </cell>
          <cell r="G45">
            <v>11</v>
          </cell>
          <cell r="H45">
            <v>2</v>
          </cell>
          <cell r="I45">
            <v>12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6</v>
          </cell>
          <cell r="S45">
            <v>32</v>
          </cell>
          <cell r="T45">
            <v>19</v>
          </cell>
          <cell r="U45">
            <v>271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</row>
        <row r="46">
          <cell r="D46">
            <v>44</v>
          </cell>
          <cell r="E46">
            <v>237</v>
          </cell>
          <cell r="F46">
            <v>44</v>
          </cell>
          <cell r="G46">
            <v>211</v>
          </cell>
          <cell r="H46">
            <v>33</v>
          </cell>
          <cell r="I46">
            <v>105</v>
          </cell>
          <cell r="J46">
            <v>67</v>
          </cell>
          <cell r="K46">
            <v>66</v>
          </cell>
          <cell r="L46">
            <v>0</v>
          </cell>
          <cell r="M46">
            <v>129</v>
          </cell>
          <cell r="N46">
            <v>20</v>
          </cell>
          <cell r="O46">
            <v>42</v>
          </cell>
          <cell r="P46">
            <v>86</v>
          </cell>
          <cell r="Q46">
            <v>262</v>
          </cell>
          <cell r="R46">
            <v>123</v>
          </cell>
          <cell r="S46">
            <v>376</v>
          </cell>
          <cell r="T46">
            <v>39</v>
          </cell>
          <cell r="U46">
            <v>135</v>
          </cell>
          <cell r="V46">
            <v>87</v>
          </cell>
          <cell r="W46">
            <v>217</v>
          </cell>
          <cell r="X46">
            <v>13</v>
          </cell>
          <cell r="Y46">
            <v>67</v>
          </cell>
          <cell r="Z46">
            <v>25</v>
          </cell>
          <cell r="AA46">
            <v>183</v>
          </cell>
          <cell r="AB46">
            <v>23</v>
          </cell>
          <cell r="AC46">
            <v>124</v>
          </cell>
        </row>
        <row r="47"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8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</row>
        <row r="48">
          <cell r="D48">
            <v>27</v>
          </cell>
          <cell r="E48">
            <v>249</v>
          </cell>
          <cell r="F48">
            <v>35</v>
          </cell>
          <cell r="G48">
            <v>202</v>
          </cell>
          <cell r="H48">
            <v>20</v>
          </cell>
          <cell r="I48">
            <v>102</v>
          </cell>
          <cell r="J48">
            <v>20</v>
          </cell>
          <cell r="K48">
            <v>101</v>
          </cell>
          <cell r="L48">
            <v>0</v>
          </cell>
          <cell r="M48">
            <v>80</v>
          </cell>
          <cell r="N48">
            <v>7</v>
          </cell>
          <cell r="O48">
            <v>61</v>
          </cell>
          <cell r="P48">
            <v>67</v>
          </cell>
          <cell r="Q48">
            <v>239</v>
          </cell>
          <cell r="R48">
            <v>93</v>
          </cell>
          <cell r="S48">
            <v>405</v>
          </cell>
          <cell r="T48">
            <v>45</v>
          </cell>
          <cell r="U48">
            <v>182</v>
          </cell>
          <cell r="V48">
            <v>100</v>
          </cell>
          <cell r="W48">
            <v>260</v>
          </cell>
          <cell r="X48">
            <v>24</v>
          </cell>
          <cell r="Y48">
            <v>67</v>
          </cell>
          <cell r="Z48">
            <v>49</v>
          </cell>
          <cell r="AA48">
            <v>128</v>
          </cell>
          <cell r="AB48">
            <v>27</v>
          </cell>
          <cell r="AC48">
            <v>150</v>
          </cell>
        </row>
        <row r="49">
          <cell r="D49">
            <v>4</v>
          </cell>
          <cell r="E49">
            <v>106</v>
          </cell>
          <cell r="F49">
            <v>0</v>
          </cell>
          <cell r="G49">
            <v>129</v>
          </cell>
          <cell r="H49">
            <v>2</v>
          </cell>
          <cell r="I49">
            <v>76</v>
          </cell>
          <cell r="J49">
            <v>4</v>
          </cell>
          <cell r="K49">
            <v>39</v>
          </cell>
          <cell r="L49">
            <v>0</v>
          </cell>
          <cell r="M49">
            <v>57</v>
          </cell>
          <cell r="N49">
            <v>0</v>
          </cell>
          <cell r="O49">
            <v>17</v>
          </cell>
          <cell r="P49">
            <v>4</v>
          </cell>
          <cell r="Q49">
            <v>158</v>
          </cell>
          <cell r="R49">
            <v>2</v>
          </cell>
          <cell r="S49">
            <v>224</v>
          </cell>
          <cell r="T49">
            <v>1</v>
          </cell>
          <cell r="U49">
            <v>86</v>
          </cell>
          <cell r="V49">
            <v>4</v>
          </cell>
          <cell r="W49">
            <v>155</v>
          </cell>
          <cell r="X49">
            <v>0</v>
          </cell>
          <cell r="Y49">
            <v>38</v>
          </cell>
          <cell r="Z49">
            <v>0</v>
          </cell>
          <cell r="AA49">
            <v>104</v>
          </cell>
          <cell r="AB49">
            <v>2</v>
          </cell>
          <cell r="AC49">
            <v>90</v>
          </cell>
        </row>
        <row r="50"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</row>
        <row r="53">
          <cell r="E53">
            <v>61</v>
          </cell>
          <cell r="G53">
            <v>77.099999999999994</v>
          </cell>
          <cell r="I53">
            <v>68</v>
          </cell>
          <cell r="K53">
            <v>136</v>
          </cell>
          <cell r="M53">
            <v>118</v>
          </cell>
          <cell r="O53">
            <v>43</v>
          </cell>
          <cell r="Q53">
            <v>96</v>
          </cell>
          <cell r="S53">
            <v>184</v>
          </cell>
          <cell r="U53">
            <v>48</v>
          </cell>
          <cell r="W53">
            <v>153</v>
          </cell>
          <cell r="Y53">
            <v>17</v>
          </cell>
          <cell r="AA53">
            <v>82</v>
          </cell>
          <cell r="AC53">
            <v>100</v>
          </cell>
        </row>
        <row r="54">
          <cell r="E54">
            <v>165</v>
          </cell>
          <cell r="G54">
            <v>278</v>
          </cell>
          <cell r="I54">
            <v>74</v>
          </cell>
          <cell r="K54">
            <v>68</v>
          </cell>
          <cell r="M54">
            <v>131</v>
          </cell>
          <cell r="O54">
            <v>52</v>
          </cell>
          <cell r="Q54">
            <v>254</v>
          </cell>
          <cell r="S54">
            <v>229</v>
          </cell>
          <cell r="U54">
            <v>108</v>
          </cell>
          <cell r="W54">
            <v>140</v>
          </cell>
          <cell r="Y54">
            <v>1</v>
          </cell>
          <cell r="AA54">
            <v>96</v>
          </cell>
          <cell r="AC54">
            <v>94</v>
          </cell>
        </row>
        <row r="55">
          <cell r="E55">
            <v>0</v>
          </cell>
          <cell r="G55">
            <v>0</v>
          </cell>
          <cell r="I55">
            <v>0</v>
          </cell>
          <cell r="K55">
            <v>0</v>
          </cell>
          <cell r="M55">
            <v>0</v>
          </cell>
          <cell r="O55">
            <v>8</v>
          </cell>
          <cell r="Q55">
            <v>0</v>
          </cell>
          <cell r="S55">
            <v>12</v>
          </cell>
          <cell r="U55">
            <v>0</v>
          </cell>
          <cell r="W55">
            <v>0</v>
          </cell>
          <cell r="Y55">
            <v>0</v>
          </cell>
          <cell r="AA55">
            <v>0</v>
          </cell>
          <cell r="AC55">
            <v>0</v>
          </cell>
        </row>
        <row r="56">
          <cell r="E56">
            <v>174</v>
          </cell>
          <cell r="G56">
            <v>166</v>
          </cell>
          <cell r="I56">
            <v>64</v>
          </cell>
          <cell r="K56">
            <v>86</v>
          </cell>
          <cell r="M56">
            <v>6</v>
          </cell>
          <cell r="O56">
            <v>9</v>
          </cell>
          <cell r="Q56">
            <v>222</v>
          </cell>
          <cell r="S56">
            <v>243</v>
          </cell>
          <cell r="U56">
            <v>37</v>
          </cell>
          <cell r="W56">
            <v>103</v>
          </cell>
          <cell r="Y56">
            <v>39</v>
          </cell>
          <cell r="AA56">
            <v>46</v>
          </cell>
          <cell r="AC56">
            <v>99</v>
          </cell>
        </row>
        <row r="57">
          <cell r="E57">
            <v>28</v>
          </cell>
          <cell r="G57">
            <v>22</v>
          </cell>
          <cell r="I57">
            <v>25</v>
          </cell>
          <cell r="K57">
            <v>29</v>
          </cell>
          <cell r="M57">
            <v>20</v>
          </cell>
          <cell r="O57">
            <v>1</v>
          </cell>
          <cell r="Q57">
            <v>36</v>
          </cell>
          <cell r="S57">
            <v>23</v>
          </cell>
          <cell r="U57">
            <v>11</v>
          </cell>
          <cell r="W57">
            <v>12</v>
          </cell>
          <cell r="Y57">
            <v>14</v>
          </cell>
          <cell r="AA57">
            <v>19</v>
          </cell>
          <cell r="AC57">
            <v>4</v>
          </cell>
        </row>
        <row r="58">
          <cell r="E58">
            <v>35</v>
          </cell>
          <cell r="G58">
            <v>56</v>
          </cell>
          <cell r="I58">
            <v>35</v>
          </cell>
          <cell r="K58">
            <v>41</v>
          </cell>
          <cell r="M58">
            <v>9</v>
          </cell>
          <cell r="O58">
            <v>13</v>
          </cell>
          <cell r="Q58">
            <v>128</v>
          </cell>
          <cell r="S58">
            <v>157</v>
          </cell>
          <cell r="U58">
            <v>27</v>
          </cell>
          <cell r="W58">
            <v>50</v>
          </cell>
          <cell r="Y58">
            <v>7</v>
          </cell>
          <cell r="AA58">
            <v>24</v>
          </cell>
          <cell r="AC58">
            <v>17</v>
          </cell>
        </row>
        <row r="59">
          <cell r="E59">
            <v>64</v>
          </cell>
          <cell r="G59">
            <v>47</v>
          </cell>
          <cell r="I59">
            <v>38</v>
          </cell>
          <cell r="K59">
            <v>43</v>
          </cell>
          <cell r="M59">
            <v>38</v>
          </cell>
          <cell r="O59">
            <v>1</v>
          </cell>
          <cell r="Q59">
            <v>93</v>
          </cell>
          <cell r="S59">
            <v>105</v>
          </cell>
          <cell r="U59">
            <v>12</v>
          </cell>
          <cell r="W59">
            <v>84</v>
          </cell>
          <cell r="Y59">
            <v>9</v>
          </cell>
          <cell r="AA59">
            <v>47</v>
          </cell>
          <cell r="AC59">
            <v>20</v>
          </cell>
        </row>
        <row r="60">
          <cell r="E60">
            <v>0</v>
          </cell>
          <cell r="G60">
            <v>14</v>
          </cell>
          <cell r="I60">
            <v>0</v>
          </cell>
          <cell r="K60">
            <v>0</v>
          </cell>
          <cell r="M60">
            <v>2</v>
          </cell>
          <cell r="O60">
            <v>5</v>
          </cell>
          <cell r="Q60">
            <v>0</v>
          </cell>
          <cell r="S60">
            <v>53</v>
          </cell>
          <cell r="U60">
            <v>39</v>
          </cell>
          <cell r="W60">
            <v>0</v>
          </cell>
          <cell r="Y60">
            <v>0</v>
          </cell>
          <cell r="AA60">
            <v>0</v>
          </cell>
          <cell r="AC60">
            <v>19</v>
          </cell>
        </row>
        <row r="61">
          <cell r="E61">
            <v>0</v>
          </cell>
          <cell r="G61">
            <v>4</v>
          </cell>
          <cell r="I61">
            <v>0</v>
          </cell>
          <cell r="K61">
            <v>0</v>
          </cell>
          <cell r="M61">
            <v>0</v>
          </cell>
          <cell r="O61">
            <v>0</v>
          </cell>
          <cell r="Q61">
            <v>0</v>
          </cell>
          <cell r="S61">
            <v>0</v>
          </cell>
          <cell r="U61">
            <v>0</v>
          </cell>
          <cell r="W61">
            <v>0</v>
          </cell>
          <cell r="Y61">
            <v>0</v>
          </cell>
          <cell r="AA61">
            <v>0</v>
          </cell>
          <cell r="AC61">
            <v>0</v>
          </cell>
        </row>
        <row r="62">
          <cell r="E62">
            <v>0</v>
          </cell>
          <cell r="G62">
            <v>6</v>
          </cell>
          <cell r="I62">
            <v>0</v>
          </cell>
          <cell r="K62">
            <v>0</v>
          </cell>
          <cell r="M62">
            <v>0</v>
          </cell>
          <cell r="O62">
            <v>0</v>
          </cell>
          <cell r="Q62">
            <v>0</v>
          </cell>
          <cell r="S62">
            <v>3</v>
          </cell>
          <cell r="U62">
            <v>0</v>
          </cell>
          <cell r="W62">
            <v>0</v>
          </cell>
          <cell r="Y62">
            <v>0</v>
          </cell>
          <cell r="AA62">
            <v>0</v>
          </cell>
          <cell r="AC62">
            <v>0</v>
          </cell>
        </row>
        <row r="63">
          <cell r="E63">
            <v>0</v>
          </cell>
          <cell r="G63">
            <v>7</v>
          </cell>
          <cell r="I63">
            <v>0</v>
          </cell>
          <cell r="K63">
            <v>0</v>
          </cell>
          <cell r="M63">
            <v>0</v>
          </cell>
          <cell r="O63">
            <v>0</v>
          </cell>
          <cell r="Q63">
            <v>0</v>
          </cell>
          <cell r="S63">
            <v>0</v>
          </cell>
          <cell r="U63">
            <v>0</v>
          </cell>
          <cell r="W63">
            <v>0</v>
          </cell>
          <cell r="Y63">
            <v>0</v>
          </cell>
          <cell r="AA63">
            <v>0</v>
          </cell>
          <cell r="AC63">
            <v>0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contro"/>
      <sheetName val="MACR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2">
          <cell r="B12">
            <v>7893</v>
          </cell>
          <cell r="Y12">
            <v>790</v>
          </cell>
          <cell r="Z12">
            <v>672</v>
          </cell>
          <cell r="AA12">
            <v>71</v>
          </cell>
          <cell r="AC12">
            <v>1</v>
          </cell>
          <cell r="AD12">
            <v>1</v>
          </cell>
          <cell r="AE12">
            <v>0</v>
          </cell>
        </row>
        <row r="13">
          <cell r="B13">
            <v>23849</v>
          </cell>
          <cell r="Y13">
            <v>0</v>
          </cell>
          <cell r="Z13">
            <v>0</v>
          </cell>
          <cell r="AA13">
            <v>0</v>
          </cell>
          <cell r="AC13">
            <v>2668</v>
          </cell>
          <cell r="AD13">
            <v>539</v>
          </cell>
          <cell r="AE13">
            <v>0</v>
          </cell>
        </row>
        <row r="14">
          <cell r="B14">
            <v>1115</v>
          </cell>
          <cell r="Y14">
            <v>0</v>
          </cell>
          <cell r="Z14">
            <v>0</v>
          </cell>
          <cell r="AA14">
            <v>0</v>
          </cell>
        </row>
        <row r="15">
          <cell r="B15">
            <v>831</v>
          </cell>
          <cell r="Y15">
            <v>0</v>
          </cell>
          <cell r="Z15">
            <v>0</v>
          </cell>
          <cell r="AA15">
            <v>0</v>
          </cell>
          <cell r="AC15">
            <v>28</v>
          </cell>
          <cell r="AD15">
            <v>44</v>
          </cell>
          <cell r="AE15">
            <v>0</v>
          </cell>
        </row>
        <row r="16">
          <cell r="B16">
            <v>5218</v>
          </cell>
          <cell r="Y16">
            <v>100</v>
          </cell>
          <cell r="Z16">
            <v>219</v>
          </cell>
          <cell r="AA16">
            <v>5</v>
          </cell>
          <cell r="AC16">
            <v>118</v>
          </cell>
          <cell r="AD16">
            <v>344</v>
          </cell>
          <cell r="AE16">
            <v>1</v>
          </cell>
        </row>
        <row r="17">
          <cell r="B17">
            <v>484</v>
          </cell>
          <cell r="Y17">
            <v>0</v>
          </cell>
          <cell r="Z17">
            <v>0</v>
          </cell>
          <cell r="AA17">
            <v>0</v>
          </cell>
          <cell r="AC17">
            <v>9</v>
          </cell>
          <cell r="AD17">
            <v>107</v>
          </cell>
          <cell r="AE17">
            <v>0</v>
          </cell>
        </row>
        <row r="18">
          <cell r="B18">
            <v>1225</v>
          </cell>
          <cell r="Y18">
            <v>0</v>
          </cell>
          <cell r="Z18">
            <v>0</v>
          </cell>
          <cell r="AA18">
            <v>0</v>
          </cell>
          <cell r="AC18">
            <v>46</v>
          </cell>
          <cell r="AD18">
            <v>161</v>
          </cell>
          <cell r="AE18">
            <v>0</v>
          </cell>
        </row>
        <row r="19">
          <cell r="B19">
            <v>0</v>
          </cell>
          <cell r="Y19">
            <v>0</v>
          </cell>
          <cell r="Z19">
            <v>0</v>
          </cell>
          <cell r="AA19">
            <v>0</v>
          </cell>
          <cell r="AC19">
            <v>0</v>
          </cell>
          <cell r="AD19">
            <v>0</v>
          </cell>
          <cell r="AE19">
            <v>0</v>
          </cell>
        </row>
        <row r="20">
          <cell r="B20">
            <v>754</v>
          </cell>
          <cell r="Y20">
            <v>0</v>
          </cell>
          <cell r="Z20">
            <v>0</v>
          </cell>
          <cell r="AA20">
            <v>0</v>
          </cell>
          <cell r="AC20">
            <v>22</v>
          </cell>
          <cell r="AD20">
            <v>61</v>
          </cell>
          <cell r="AE20">
            <v>0</v>
          </cell>
        </row>
        <row r="21">
          <cell r="B21">
            <v>0</v>
          </cell>
          <cell r="Y21">
            <v>0</v>
          </cell>
          <cell r="Z21">
            <v>0</v>
          </cell>
          <cell r="AA21">
            <v>0</v>
          </cell>
          <cell r="AC21">
            <v>0</v>
          </cell>
          <cell r="AD21">
            <v>0</v>
          </cell>
          <cell r="AE21">
            <v>0</v>
          </cell>
        </row>
        <row r="22">
          <cell r="B22">
            <v>1241</v>
          </cell>
          <cell r="Y22">
            <v>0</v>
          </cell>
          <cell r="Z22">
            <v>0</v>
          </cell>
          <cell r="AA22">
            <v>0</v>
          </cell>
          <cell r="AC22">
            <v>195</v>
          </cell>
          <cell r="AD22">
            <v>60</v>
          </cell>
          <cell r="AE22">
            <v>0</v>
          </cell>
        </row>
        <row r="23">
          <cell r="B23">
            <v>0</v>
          </cell>
          <cell r="Y23">
            <v>0</v>
          </cell>
          <cell r="Z23">
            <v>0</v>
          </cell>
          <cell r="AA23">
            <v>0</v>
          </cell>
          <cell r="AC23">
            <v>0</v>
          </cell>
          <cell r="AD23">
            <v>0</v>
          </cell>
          <cell r="AE23">
            <v>0</v>
          </cell>
        </row>
        <row r="24">
          <cell r="B24">
            <v>1897</v>
          </cell>
          <cell r="Y24">
            <v>0</v>
          </cell>
          <cell r="Z24">
            <v>0</v>
          </cell>
          <cell r="AA24">
            <v>0</v>
          </cell>
          <cell r="AC24">
            <v>104</v>
          </cell>
          <cell r="AD24">
            <v>102</v>
          </cell>
          <cell r="AE24">
            <v>0</v>
          </cell>
        </row>
        <row r="25">
          <cell r="B25">
            <v>4218</v>
          </cell>
          <cell r="Y25">
            <v>217</v>
          </cell>
          <cell r="Z25">
            <v>151</v>
          </cell>
          <cell r="AA25">
            <v>0</v>
          </cell>
          <cell r="AC25">
            <v>590</v>
          </cell>
          <cell r="AD25">
            <v>323</v>
          </cell>
          <cell r="AE25">
            <v>0</v>
          </cell>
        </row>
        <row r="26">
          <cell r="B26">
            <v>408</v>
          </cell>
          <cell r="Y26">
            <v>2</v>
          </cell>
          <cell r="Z26">
            <v>4</v>
          </cell>
          <cell r="AA26">
            <v>0</v>
          </cell>
          <cell r="AC26">
            <v>82</v>
          </cell>
          <cell r="AD26">
            <v>28</v>
          </cell>
          <cell r="AE26">
            <v>0</v>
          </cell>
        </row>
        <row r="27">
          <cell r="B27">
            <v>521</v>
          </cell>
          <cell r="Y27">
            <v>0</v>
          </cell>
          <cell r="Z27">
            <v>0</v>
          </cell>
          <cell r="AA27">
            <v>0</v>
          </cell>
          <cell r="AC27">
            <v>2</v>
          </cell>
          <cell r="AD27">
            <v>3</v>
          </cell>
          <cell r="AE27">
            <v>0</v>
          </cell>
        </row>
        <row r="28">
          <cell r="B28">
            <v>0</v>
          </cell>
          <cell r="AC28">
            <v>0</v>
          </cell>
          <cell r="AD28">
            <v>0</v>
          </cell>
          <cell r="AE28">
            <v>0</v>
          </cell>
        </row>
        <row r="29">
          <cell r="B29">
            <v>674</v>
          </cell>
          <cell r="Y29">
            <v>5</v>
          </cell>
          <cell r="Z29">
            <v>60</v>
          </cell>
          <cell r="AA29">
            <v>0</v>
          </cell>
          <cell r="AC29">
            <v>43</v>
          </cell>
          <cell r="AD29">
            <v>128</v>
          </cell>
          <cell r="AE29">
            <v>0</v>
          </cell>
        </row>
        <row r="30">
          <cell r="B30">
            <v>7398</v>
          </cell>
          <cell r="Y30">
            <v>414</v>
          </cell>
          <cell r="Z30">
            <v>272</v>
          </cell>
          <cell r="AA30">
            <v>24</v>
          </cell>
          <cell r="AC30">
            <v>707</v>
          </cell>
          <cell r="AD30">
            <v>274</v>
          </cell>
          <cell r="AE30">
            <v>1</v>
          </cell>
        </row>
        <row r="31">
          <cell r="B31">
            <v>0</v>
          </cell>
          <cell r="Y31">
            <v>0</v>
          </cell>
          <cell r="Z31">
            <v>0</v>
          </cell>
          <cell r="AA31">
            <v>0</v>
          </cell>
          <cell r="AC31">
            <v>0</v>
          </cell>
          <cell r="AD31">
            <v>0</v>
          </cell>
          <cell r="AE31">
            <v>0</v>
          </cell>
        </row>
        <row r="32">
          <cell r="B32">
            <v>4764</v>
          </cell>
          <cell r="Y32">
            <v>111</v>
          </cell>
          <cell r="Z32">
            <v>8</v>
          </cell>
          <cell r="AA32">
            <v>4</v>
          </cell>
          <cell r="AC32">
            <v>554</v>
          </cell>
          <cell r="AD32">
            <v>53</v>
          </cell>
          <cell r="AE32">
            <v>90</v>
          </cell>
        </row>
        <row r="33">
          <cell r="B33">
            <v>0</v>
          </cell>
          <cell r="Y33">
            <v>0</v>
          </cell>
          <cell r="Z33">
            <v>0</v>
          </cell>
          <cell r="AA33">
            <v>0</v>
          </cell>
          <cell r="AC33">
            <v>0</v>
          </cell>
          <cell r="AD33">
            <v>0</v>
          </cell>
          <cell r="AE33">
            <v>0</v>
          </cell>
        </row>
        <row r="34">
          <cell r="B34">
            <v>1572</v>
          </cell>
          <cell r="Y34">
            <v>387</v>
          </cell>
          <cell r="Z34">
            <v>119</v>
          </cell>
          <cell r="AA34">
            <v>15</v>
          </cell>
          <cell r="AC34">
            <v>0</v>
          </cell>
          <cell r="AD34">
            <v>0</v>
          </cell>
          <cell r="AE34">
            <v>0</v>
          </cell>
        </row>
        <row r="35">
          <cell r="B35">
            <v>14587</v>
          </cell>
          <cell r="AC35">
            <v>2520</v>
          </cell>
          <cell r="AD35">
            <v>514</v>
          </cell>
          <cell r="AE35">
            <v>8</v>
          </cell>
        </row>
        <row r="36">
          <cell r="B36">
            <v>0</v>
          </cell>
          <cell r="Y36">
            <v>0</v>
          </cell>
          <cell r="Z36">
            <v>0</v>
          </cell>
          <cell r="AA36">
            <v>0</v>
          </cell>
          <cell r="AC36">
            <v>0</v>
          </cell>
          <cell r="AD36">
            <v>0</v>
          </cell>
          <cell r="AE36">
            <v>0</v>
          </cell>
        </row>
        <row r="37">
          <cell r="B37">
            <v>1087</v>
          </cell>
          <cell r="AC37">
            <v>40</v>
          </cell>
          <cell r="AD37">
            <v>20</v>
          </cell>
          <cell r="AE37">
            <v>0</v>
          </cell>
        </row>
        <row r="38">
          <cell r="B38">
            <v>712</v>
          </cell>
          <cell r="AC38">
            <v>271</v>
          </cell>
          <cell r="AD38">
            <v>57</v>
          </cell>
          <cell r="AE38">
            <v>0</v>
          </cell>
        </row>
        <row r="39">
          <cell r="B39">
            <v>0</v>
          </cell>
          <cell r="Y39">
            <v>0</v>
          </cell>
          <cell r="Z39">
            <v>0</v>
          </cell>
          <cell r="AA39">
            <v>0</v>
          </cell>
          <cell r="AC39">
            <v>0</v>
          </cell>
          <cell r="AD39">
            <v>0</v>
          </cell>
          <cell r="AE39">
            <v>0</v>
          </cell>
        </row>
        <row r="40">
          <cell r="B40">
            <v>1217</v>
          </cell>
          <cell r="Y40">
            <v>0</v>
          </cell>
          <cell r="Z40">
            <v>1</v>
          </cell>
          <cell r="AA40">
            <v>0</v>
          </cell>
          <cell r="AC40">
            <v>4</v>
          </cell>
          <cell r="AD40">
            <v>73</v>
          </cell>
          <cell r="AE40">
            <v>0</v>
          </cell>
        </row>
        <row r="41">
          <cell r="B41">
            <v>0</v>
          </cell>
          <cell r="AC41">
            <v>0</v>
          </cell>
          <cell r="AD41">
            <v>0</v>
          </cell>
          <cell r="AE41">
            <v>0</v>
          </cell>
        </row>
        <row r="42">
          <cell r="B42">
            <v>0</v>
          </cell>
          <cell r="Y42">
            <v>0</v>
          </cell>
          <cell r="Z42">
            <v>0</v>
          </cell>
          <cell r="AA42">
            <v>0</v>
          </cell>
          <cell r="AC42">
            <v>0</v>
          </cell>
          <cell r="AD42">
            <v>0</v>
          </cell>
          <cell r="AE42">
            <v>0</v>
          </cell>
        </row>
        <row r="43">
          <cell r="B43">
            <v>0</v>
          </cell>
          <cell r="AC43">
            <v>0</v>
          </cell>
          <cell r="AD43">
            <v>0</v>
          </cell>
          <cell r="AE43">
            <v>0</v>
          </cell>
        </row>
        <row r="44">
          <cell r="B44">
            <v>2853</v>
          </cell>
          <cell r="Y44">
            <v>19</v>
          </cell>
          <cell r="Z44">
            <v>14</v>
          </cell>
          <cell r="AA44">
            <v>1</v>
          </cell>
          <cell r="AC44">
            <v>541</v>
          </cell>
          <cell r="AD44">
            <v>139</v>
          </cell>
          <cell r="AE44">
            <v>2</v>
          </cell>
        </row>
        <row r="45">
          <cell r="B45">
            <v>0</v>
          </cell>
          <cell r="Y45">
            <v>0</v>
          </cell>
          <cell r="Z45">
            <v>0</v>
          </cell>
          <cell r="AA45">
            <v>0</v>
          </cell>
          <cell r="AC45">
            <v>0</v>
          </cell>
          <cell r="AD45">
            <v>0</v>
          </cell>
          <cell r="AE45">
            <v>0</v>
          </cell>
        </row>
        <row r="46">
          <cell r="B46">
            <v>0</v>
          </cell>
          <cell r="Y46">
            <v>0</v>
          </cell>
          <cell r="Z46">
            <v>0</v>
          </cell>
          <cell r="AA46">
            <v>0</v>
          </cell>
          <cell r="AC46">
            <v>0</v>
          </cell>
          <cell r="AD46">
            <v>0</v>
          </cell>
          <cell r="AE46">
            <v>0</v>
          </cell>
        </row>
        <row r="47">
          <cell r="B47">
            <v>6543</v>
          </cell>
          <cell r="Y47">
            <v>30</v>
          </cell>
          <cell r="Z47">
            <v>0</v>
          </cell>
          <cell r="AA47">
            <v>0</v>
          </cell>
          <cell r="AC47">
            <v>1298</v>
          </cell>
          <cell r="AD47">
            <v>94</v>
          </cell>
          <cell r="AE47">
            <v>2</v>
          </cell>
        </row>
        <row r="48">
          <cell r="B48">
            <v>2884</v>
          </cell>
          <cell r="Y48">
            <v>1</v>
          </cell>
          <cell r="Z48">
            <v>1</v>
          </cell>
          <cell r="AA48">
            <v>0</v>
          </cell>
          <cell r="AC48">
            <v>604</v>
          </cell>
          <cell r="AD48">
            <v>100</v>
          </cell>
          <cell r="AE48">
            <v>0</v>
          </cell>
        </row>
        <row r="49">
          <cell r="B49">
            <v>5286</v>
          </cell>
          <cell r="Y49">
            <v>70</v>
          </cell>
          <cell r="Z49">
            <v>18</v>
          </cell>
          <cell r="AA49">
            <v>0</v>
          </cell>
          <cell r="AC49">
            <v>1085</v>
          </cell>
          <cell r="AD49">
            <v>168</v>
          </cell>
          <cell r="AE49">
            <v>0</v>
          </cell>
        </row>
        <row r="50">
          <cell r="B50">
            <v>441</v>
          </cell>
          <cell r="Y50">
            <v>0</v>
          </cell>
          <cell r="Z50">
            <v>0</v>
          </cell>
          <cell r="AA50">
            <v>0</v>
          </cell>
          <cell r="AC50">
            <v>0</v>
          </cell>
          <cell r="AD50">
            <v>0</v>
          </cell>
          <cell r="AE50">
            <v>0</v>
          </cell>
        </row>
        <row r="51">
          <cell r="B51">
            <v>4392</v>
          </cell>
          <cell r="Y51">
            <v>134</v>
          </cell>
          <cell r="Z51">
            <v>41</v>
          </cell>
          <cell r="AA51">
            <v>45</v>
          </cell>
          <cell r="AC51">
            <v>295</v>
          </cell>
          <cell r="AD51">
            <v>257</v>
          </cell>
          <cell r="AE51">
            <v>292</v>
          </cell>
        </row>
        <row r="52">
          <cell r="B52">
            <v>0</v>
          </cell>
          <cell r="Y52">
            <v>0</v>
          </cell>
          <cell r="Z52">
            <v>0</v>
          </cell>
          <cell r="AA52">
            <v>0</v>
          </cell>
          <cell r="AC52">
            <v>0</v>
          </cell>
          <cell r="AD52">
            <v>0</v>
          </cell>
          <cell r="AE52">
            <v>0</v>
          </cell>
        </row>
        <row r="53">
          <cell r="B53">
            <v>2471</v>
          </cell>
          <cell r="Y53">
            <v>58</v>
          </cell>
          <cell r="Z53">
            <v>138</v>
          </cell>
          <cell r="AA53">
            <v>142</v>
          </cell>
          <cell r="AC53">
            <v>71</v>
          </cell>
          <cell r="AD53">
            <v>197</v>
          </cell>
          <cell r="AE53">
            <v>282</v>
          </cell>
        </row>
        <row r="54">
          <cell r="B54">
            <v>0</v>
          </cell>
          <cell r="AC54">
            <v>0</v>
          </cell>
          <cell r="AD54">
            <v>0</v>
          </cell>
          <cell r="AE54">
            <v>0</v>
          </cell>
        </row>
        <row r="55">
          <cell r="B55">
            <v>10892</v>
          </cell>
          <cell r="Y55">
            <v>79</v>
          </cell>
          <cell r="Z55">
            <v>77</v>
          </cell>
          <cell r="AA55">
            <v>2</v>
          </cell>
          <cell r="AC55">
            <v>1006</v>
          </cell>
          <cell r="AD55">
            <v>416</v>
          </cell>
          <cell r="AE55">
            <v>10</v>
          </cell>
        </row>
        <row r="56">
          <cell r="B56">
            <v>4039</v>
          </cell>
          <cell r="Y56">
            <v>2</v>
          </cell>
          <cell r="Z56">
            <v>2</v>
          </cell>
          <cell r="AA56">
            <v>0</v>
          </cell>
          <cell r="AC56">
            <v>452</v>
          </cell>
          <cell r="AD56">
            <v>286</v>
          </cell>
          <cell r="AE56">
            <v>2</v>
          </cell>
        </row>
        <row r="57">
          <cell r="B57">
            <v>0</v>
          </cell>
          <cell r="Y57">
            <v>0</v>
          </cell>
          <cell r="Z57">
            <v>0</v>
          </cell>
          <cell r="AA57">
            <v>0</v>
          </cell>
          <cell r="AC57">
            <v>0</v>
          </cell>
          <cell r="AD57">
            <v>0</v>
          </cell>
          <cell r="AE57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contro"/>
      <sheetName val="MACR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11">
          <cell r="D11">
            <v>2416</v>
          </cell>
        </row>
        <row r="12">
          <cell r="D12">
            <v>4888</v>
          </cell>
        </row>
        <row r="15">
          <cell r="D15">
            <v>371</v>
          </cell>
        </row>
        <row r="16">
          <cell r="D16">
            <v>1751</v>
          </cell>
        </row>
        <row r="37">
          <cell r="E37">
            <v>96</v>
          </cell>
          <cell r="F37">
            <v>31</v>
          </cell>
          <cell r="G37">
            <v>259</v>
          </cell>
          <cell r="H37">
            <v>64</v>
          </cell>
          <cell r="I37">
            <v>782</v>
          </cell>
          <cell r="J37">
            <v>1160</v>
          </cell>
          <cell r="K37">
            <v>911</v>
          </cell>
          <cell r="L37">
            <v>253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contro"/>
      <sheetName val="MACR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11">
          <cell r="D11">
            <v>278</v>
          </cell>
        </row>
        <row r="12">
          <cell r="D12">
            <v>579</v>
          </cell>
        </row>
        <row r="15">
          <cell r="D15">
            <v>0</v>
          </cell>
        </row>
        <row r="16">
          <cell r="D16">
            <v>4</v>
          </cell>
        </row>
        <row r="37">
          <cell r="E37">
            <v>76</v>
          </cell>
          <cell r="F37">
            <v>97</v>
          </cell>
          <cell r="G37">
            <v>148</v>
          </cell>
          <cell r="H37">
            <v>76</v>
          </cell>
          <cell r="I37">
            <v>136</v>
          </cell>
          <cell r="J37">
            <v>89</v>
          </cell>
          <cell r="K37">
            <v>483</v>
          </cell>
          <cell r="L37">
            <v>4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contro"/>
      <sheetName val="MACR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11">
          <cell r="D11">
            <v>294</v>
          </cell>
        </row>
        <row r="12">
          <cell r="D12">
            <v>493</v>
          </cell>
        </row>
        <row r="15">
          <cell r="D15">
            <v>28</v>
          </cell>
        </row>
        <row r="16">
          <cell r="D16">
            <v>38</v>
          </cell>
        </row>
        <row r="37">
          <cell r="E37">
            <v>12</v>
          </cell>
          <cell r="F37">
            <v>11</v>
          </cell>
          <cell r="G37">
            <v>42</v>
          </cell>
          <cell r="H37">
            <v>13</v>
          </cell>
          <cell r="I37">
            <v>29</v>
          </cell>
          <cell r="J37">
            <v>49</v>
          </cell>
          <cell r="K37">
            <v>193</v>
          </cell>
          <cell r="L37">
            <v>56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99"/>
  <sheetViews>
    <sheetView topLeftCell="A13" workbookViewId="0">
      <selection activeCell="B69" sqref="B69"/>
    </sheetView>
  </sheetViews>
  <sheetFormatPr baseColWidth="10" defaultRowHeight="12.75"/>
  <cols>
    <col min="1" max="1" width="6.140625" customWidth="1"/>
    <col min="2" max="2" width="60.42578125" customWidth="1"/>
    <col min="3" max="3" width="7.28515625" customWidth="1"/>
  </cols>
  <sheetData>
    <row r="1" spans="1:3" ht="15.75">
      <c r="A1" s="1060" t="s">
        <v>332</v>
      </c>
      <c r="B1" s="5"/>
      <c r="C1" s="5"/>
    </row>
    <row r="2" spans="1:3">
      <c r="A2" s="1061"/>
      <c r="B2" s="5"/>
      <c r="C2" s="5"/>
    </row>
    <row r="3" spans="1:3">
      <c r="A3" s="1061"/>
      <c r="B3" s="5"/>
      <c r="C3" s="5"/>
    </row>
    <row r="4" spans="1:3">
      <c r="A4" s="1061"/>
      <c r="B4" s="5"/>
      <c r="C4" s="5"/>
    </row>
    <row r="5" spans="1:3">
      <c r="A5" s="6"/>
      <c r="B5" s="6"/>
      <c r="C5" s="6"/>
    </row>
    <row r="6" spans="1:3">
      <c r="A6" s="6"/>
      <c r="B6" s="6"/>
      <c r="C6" s="6"/>
    </row>
    <row r="7" spans="1:3" ht="21" customHeight="1">
      <c r="A7" s="1062" t="s">
        <v>333</v>
      </c>
      <c r="B7" s="16"/>
      <c r="C7" s="1063" t="s">
        <v>334</v>
      </c>
    </row>
    <row r="8" spans="1:3" ht="12" customHeight="1">
      <c r="A8" s="1057"/>
      <c r="B8" s="6"/>
      <c r="C8" s="7"/>
    </row>
    <row r="9" spans="1:3" ht="18" customHeight="1">
      <c r="A9" s="7" t="s">
        <v>335</v>
      </c>
      <c r="B9" s="6" t="s">
        <v>336</v>
      </c>
      <c r="C9" s="6">
        <v>2</v>
      </c>
    </row>
    <row r="10" spans="1:3" ht="17.25" customHeight="1">
      <c r="A10" s="7" t="s">
        <v>337</v>
      </c>
      <c r="B10" s="6" t="s">
        <v>338</v>
      </c>
      <c r="C10" s="6">
        <v>3</v>
      </c>
    </row>
    <row r="11" spans="1:3">
      <c r="A11" s="7" t="s">
        <v>339</v>
      </c>
      <c r="B11" s="6" t="s">
        <v>340</v>
      </c>
      <c r="C11" s="6">
        <v>4</v>
      </c>
    </row>
    <row r="12" spans="1:3">
      <c r="A12" s="7" t="s">
        <v>357</v>
      </c>
      <c r="B12" s="6" t="s">
        <v>342</v>
      </c>
      <c r="C12" s="6">
        <v>6</v>
      </c>
    </row>
    <row r="13" spans="1:3">
      <c r="A13" s="7" t="s">
        <v>341</v>
      </c>
      <c r="B13" s="6" t="s">
        <v>1405</v>
      </c>
      <c r="C13" s="6">
        <v>7</v>
      </c>
    </row>
    <row r="14" spans="1:3">
      <c r="A14" s="7" t="s">
        <v>343</v>
      </c>
      <c r="B14" s="6" t="s">
        <v>1406</v>
      </c>
      <c r="C14" s="6">
        <v>8</v>
      </c>
    </row>
    <row r="15" spans="1:3">
      <c r="A15" s="7" t="s">
        <v>344</v>
      </c>
      <c r="B15" s="6" t="s">
        <v>1407</v>
      </c>
      <c r="C15" s="6">
        <v>9</v>
      </c>
    </row>
    <row r="16" spans="1:3">
      <c r="A16" s="7" t="s">
        <v>345</v>
      </c>
      <c r="B16" s="6" t="s">
        <v>1408</v>
      </c>
      <c r="C16" s="6">
        <v>10</v>
      </c>
    </row>
    <row r="17" spans="1:3">
      <c r="A17" s="7" t="s">
        <v>346</v>
      </c>
      <c r="B17" s="6" t="s">
        <v>1409</v>
      </c>
      <c r="C17" s="6">
        <v>11</v>
      </c>
    </row>
    <row r="18" spans="1:3">
      <c r="A18" s="7" t="s">
        <v>347</v>
      </c>
      <c r="B18" s="6" t="s">
        <v>349</v>
      </c>
      <c r="C18" s="6">
        <v>12</v>
      </c>
    </row>
    <row r="19" spans="1:3">
      <c r="A19" s="7" t="s">
        <v>348</v>
      </c>
      <c r="B19" s="6" t="s">
        <v>351</v>
      </c>
      <c r="C19" s="6">
        <v>13</v>
      </c>
    </row>
    <row r="20" spans="1:3">
      <c r="A20" s="7" t="s">
        <v>350</v>
      </c>
      <c r="B20" s="6" t="s">
        <v>1410</v>
      </c>
      <c r="C20" s="6">
        <v>14</v>
      </c>
    </row>
    <row r="21" spans="1:3">
      <c r="A21" s="7" t="s">
        <v>352</v>
      </c>
      <c r="B21" s="6" t="s">
        <v>1411</v>
      </c>
      <c r="C21" s="6">
        <v>15</v>
      </c>
    </row>
    <row r="22" spans="1:3">
      <c r="A22" s="7"/>
      <c r="B22" s="6"/>
      <c r="C22" s="6"/>
    </row>
    <row r="23" spans="1:3">
      <c r="A23" s="7"/>
      <c r="B23" s="6"/>
      <c r="C23" s="6"/>
    </row>
    <row r="24" spans="1:3">
      <c r="A24" s="6"/>
      <c r="B24" s="6"/>
      <c r="C24" s="6"/>
    </row>
    <row r="25" spans="1:3" ht="19.5" customHeight="1">
      <c r="A25" s="1062" t="s">
        <v>355</v>
      </c>
      <c r="B25" s="16"/>
      <c r="C25" s="16"/>
    </row>
    <row r="26" spans="1:3" ht="12.75" customHeight="1">
      <c r="A26" s="1057"/>
      <c r="B26" s="6"/>
      <c r="C26" s="6"/>
    </row>
    <row r="27" spans="1:3">
      <c r="A27" s="7" t="s">
        <v>356</v>
      </c>
      <c r="B27" s="6" t="s">
        <v>1412</v>
      </c>
      <c r="C27" s="6">
        <v>17</v>
      </c>
    </row>
    <row r="28" spans="1:3">
      <c r="A28" s="7" t="s">
        <v>337</v>
      </c>
      <c r="B28" s="6" t="s">
        <v>1413</v>
      </c>
      <c r="C28" s="6">
        <v>19</v>
      </c>
    </row>
    <row r="29" spans="1:3">
      <c r="A29" s="7" t="s">
        <v>339</v>
      </c>
      <c r="B29" s="6" t="s">
        <v>1414</v>
      </c>
      <c r="C29" s="6">
        <v>21</v>
      </c>
    </row>
    <row r="30" spans="1:3">
      <c r="A30" s="7" t="s">
        <v>357</v>
      </c>
      <c r="B30" s="6" t="s">
        <v>1415</v>
      </c>
      <c r="C30" s="6">
        <v>23</v>
      </c>
    </row>
    <row r="31" spans="1:3">
      <c r="A31" s="7" t="s">
        <v>341</v>
      </c>
      <c r="B31" s="6" t="s">
        <v>1416</v>
      </c>
      <c r="C31" s="6">
        <v>25</v>
      </c>
    </row>
    <row r="32" spans="1:3">
      <c r="A32" s="7" t="s">
        <v>343</v>
      </c>
      <c r="B32" s="6" t="s">
        <v>1417</v>
      </c>
      <c r="C32" s="6">
        <v>27</v>
      </c>
    </row>
    <row r="33" spans="1:3">
      <c r="A33" s="7" t="s">
        <v>344</v>
      </c>
      <c r="B33" s="6" t="s">
        <v>1418</v>
      </c>
      <c r="C33" s="6">
        <v>29</v>
      </c>
    </row>
    <row r="34" spans="1:3">
      <c r="A34" s="7" t="s">
        <v>345</v>
      </c>
      <c r="B34" s="6" t="s">
        <v>1419</v>
      </c>
      <c r="C34" s="6">
        <v>31</v>
      </c>
    </row>
    <row r="35" spans="1:3">
      <c r="A35" s="7" t="s">
        <v>346</v>
      </c>
      <c r="B35" s="6" t="s">
        <v>1420</v>
      </c>
      <c r="C35" s="6">
        <v>33</v>
      </c>
    </row>
    <row r="36" spans="1:3">
      <c r="A36" s="7" t="s">
        <v>347</v>
      </c>
      <c r="B36" s="6" t="s">
        <v>358</v>
      </c>
      <c r="C36" s="6">
        <v>35</v>
      </c>
    </row>
    <row r="37" spans="1:3">
      <c r="A37" s="7" t="s">
        <v>348</v>
      </c>
      <c r="B37" s="6" t="s">
        <v>359</v>
      </c>
      <c r="C37" s="6">
        <v>36</v>
      </c>
    </row>
    <row r="38" spans="1:3">
      <c r="A38" s="7" t="s">
        <v>350</v>
      </c>
      <c r="B38" s="6" t="s">
        <v>1421</v>
      </c>
      <c r="C38" s="6">
        <v>39</v>
      </c>
    </row>
    <row r="39" spans="1:3">
      <c r="A39" s="7" t="s">
        <v>352</v>
      </c>
      <c r="B39" s="6" t="s">
        <v>361</v>
      </c>
      <c r="C39" s="6">
        <v>40</v>
      </c>
    </row>
    <row r="40" spans="1:3">
      <c r="A40" s="7"/>
      <c r="B40" s="6"/>
      <c r="C40" s="6"/>
    </row>
    <row r="41" spans="1:3">
      <c r="A41" s="7"/>
      <c r="B41" s="6"/>
      <c r="C41" s="6"/>
    </row>
    <row r="42" spans="1:3" ht="18.75" customHeight="1">
      <c r="A42" s="1062" t="s">
        <v>362</v>
      </c>
      <c r="B42" s="16"/>
      <c r="C42" s="16"/>
    </row>
    <row r="43" spans="1:3" ht="11.25" customHeight="1">
      <c r="A43" s="1057"/>
      <c r="B43" s="6"/>
      <c r="C43" s="6"/>
    </row>
    <row r="44" spans="1:3" ht="32.25" customHeight="1">
      <c r="A44" s="1064" t="s">
        <v>363</v>
      </c>
      <c r="B44" s="1065" t="s">
        <v>364</v>
      </c>
      <c r="C44" s="6">
        <v>42</v>
      </c>
    </row>
    <row r="45" spans="1:3">
      <c r="A45" s="7" t="s">
        <v>337</v>
      </c>
      <c r="B45" s="6" t="s">
        <v>365</v>
      </c>
      <c r="C45" s="6">
        <v>43</v>
      </c>
    </row>
    <row r="46" spans="1:3">
      <c r="A46" s="7" t="s">
        <v>339</v>
      </c>
      <c r="B46" s="6" t="s">
        <v>1422</v>
      </c>
      <c r="C46" s="6">
        <v>44</v>
      </c>
    </row>
    <row r="47" spans="1:3">
      <c r="A47" s="7" t="s">
        <v>357</v>
      </c>
      <c r="B47" s="6" t="s">
        <v>366</v>
      </c>
      <c r="C47" s="6">
        <v>45</v>
      </c>
    </row>
    <row r="48" spans="1:3">
      <c r="A48" s="7" t="s">
        <v>341</v>
      </c>
      <c r="B48" t="s">
        <v>367</v>
      </c>
      <c r="C48" s="6">
        <v>46</v>
      </c>
    </row>
    <row r="49" spans="1:3">
      <c r="A49" s="7" t="s">
        <v>343</v>
      </c>
      <c r="B49" t="s">
        <v>368</v>
      </c>
      <c r="C49" s="6">
        <v>47</v>
      </c>
    </row>
    <row r="50" spans="1:3">
      <c r="A50" s="7" t="s">
        <v>344</v>
      </c>
      <c r="B50" s="6" t="s">
        <v>369</v>
      </c>
      <c r="C50" s="6">
        <v>48</v>
      </c>
    </row>
    <row r="51" spans="1:3">
      <c r="A51" s="7" t="s">
        <v>345</v>
      </c>
      <c r="B51" s="6" t="s">
        <v>370</v>
      </c>
      <c r="C51" s="6">
        <v>49</v>
      </c>
    </row>
    <row r="52" spans="1:3">
      <c r="A52" s="7" t="s">
        <v>346</v>
      </c>
      <c r="B52" s="6" t="s">
        <v>371</v>
      </c>
      <c r="C52" s="6">
        <v>50</v>
      </c>
    </row>
    <row r="53" spans="1:3">
      <c r="A53" s="7" t="s">
        <v>347</v>
      </c>
      <c r="B53" s="6" t="s">
        <v>372</v>
      </c>
      <c r="C53" s="6">
        <v>51</v>
      </c>
    </row>
    <row r="54" spans="1:3">
      <c r="A54" s="7" t="s">
        <v>348</v>
      </c>
      <c r="B54" s="6" t="s">
        <v>373</v>
      </c>
      <c r="C54" s="6">
        <v>52</v>
      </c>
    </row>
    <row r="55" spans="1:3">
      <c r="A55" s="7" t="s">
        <v>350</v>
      </c>
      <c r="B55" s="6" t="s">
        <v>374</v>
      </c>
      <c r="C55" s="6">
        <v>53</v>
      </c>
    </row>
    <row r="56" spans="1:3">
      <c r="A56" s="7" t="s">
        <v>352</v>
      </c>
      <c r="B56" s="6" t="s">
        <v>375</v>
      </c>
      <c r="C56" s="6">
        <v>54</v>
      </c>
    </row>
    <row r="57" spans="1:3">
      <c r="A57" s="7" t="s">
        <v>353</v>
      </c>
      <c r="B57" s="6" t="s">
        <v>376</v>
      </c>
      <c r="C57" s="6">
        <v>55</v>
      </c>
    </row>
    <row r="58" spans="1:3">
      <c r="A58" s="7" t="s">
        <v>354</v>
      </c>
      <c r="B58" s="6" t="s">
        <v>377</v>
      </c>
      <c r="C58" s="6">
        <v>56</v>
      </c>
    </row>
    <row r="59" spans="1:3">
      <c r="A59" s="7" t="s">
        <v>360</v>
      </c>
      <c r="B59" s="6" t="s">
        <v>379</v>
      </c>
      <c r="C59" s="6">
        <v>57</v>
      </c>
    </row>
    <row r="60" spans="1:3">
      <c r="A60" s="7" t="s">
        <v>378</v>
      </c>
      <c r="B60" s="6" t="s">
        <v>381</v>
      </c>
      <c r="C60" s="6">
        <v>58</v>
      </c>
    </row>
    <row r="61" spans="1:3">
      <c r="A61" s="7" t="s">
        <v>380</v>
      </c>
      <c r="B61" s="6" t="s">
        <v>383</v>
      </c>
      <c r="C61" s="6">
        <v>59</v>
      </c>
    </row>
    <row r="62" spans="1:3">
      <c r="A62" s="7" t="s">
        <v>382</v>
      </c>
      <c r="B62" s="6" t="s">
        <v>385</v>
      </c>
      <c r="C62" s="6">
        <v>60</v>
      </c>
    </row>
    <row r="63" spans="1:3">
      <c r="A63" s="7" t="s">
        <v>384</v>
      </c>
      <c r="B63" s="6" t="s">
        <v>387</v>
      </c>
      <c r="C63" s="6">
        <v>61</v>
      </c>
    </row>
    <row r="64" spans="1:3">
      <c r="A64" s="7" t="s">
        <v>386</v>
      </c>
      <c r="B64" s="6" t="s">
        <v>389</v>
      </c>
      <c r="C64" s="6">
        <v>62</v>
      </c>
    </row>
    <row r="65" spans="1:3">
      <c r="A65" s="7" t="s">
        <v>388</v>
      </c>
      <c r="B65" s="6" t="s">
        <v>391</v>
      </c>
      <c r="C65" s="6">
        <v>63</v>
      </c>
    </row>
    <row r="66" spans="1:3">
      <c r="A66" s="7" t="s">
        <v>390</v>
      </c>
      <c r="B66" s="6" t="s">
        <v>392</v>
      </c>
      <c r="C66" s="6">
        <v>64</v>
      </c>
    </row>
    <row r="67" spans="1:3">
      <c r="A67" s="7" t="s">
        <v>393</v>
      </c>
      <c r="B67" s="6" t="s">
        <v>394</v>
      </c>
      <c r="C67" s="6">
        <v>65</v>
      </c>
    </row>
    <row r="68" spans="1:3">
      <c r="A68" s="7" t="s">
        <v>395</v>
      </c>
      <c r="B68" s="6" t="s">
        <v>399</v>
      </c>
      <c r="C68" s="6">
        <v>66</v>
      </c>
    </row>
    <row r="69" spans="1:3">
      <c r="A69" s="7" t="s">
        <v>400</v>
      </c>
      <c r="B69" s="6" t="s">
        <v>1423</v>
      </c>
      <c r="C69" s="6">
        <v>67</v>
      </c>
    </row>
    <row r="70" spans="1:3">
      <c r="A70" s="7" t="s">
        <v>401</v>
      </c>
      <c r="B70" s="6" t="s">
        <v>405</v>
      </c>
      <c r="C70" s="6">
        <v>68</v>
      </c>
    </row>
    <row r="71" spans="1:3">
      <c r="A71" s="7" t="s">
        <v>406</v>
      </c>
      <c r="B71" s="6" t="s">
        <v>407</v>
      </c>
      <c r="C71" s="6">
        <v>69</v>
      </c>
    </row>
    <row r="72" spans="1:3">
      <c r="A72" s="7" t="s">
        <v>408</v>
      </c>
      <c r="B72" s="6" t="s">
        <v>409</v>
      </c>
      <c r="C72" s="6">
        <v>71</v>
      </c>
    </row>
    <row r="73" spans="1:3">
      <c r="A73" s="7" t="s">
        <v>410</v>
      </c>
      <c r="B73" s="6" t="s">
        <v>411</v>
      </c>
      <c r="C73" s="6">
        <v>73</v>
      </c>
    </row>
    <row r="74" spans="1:3">
      <c r="A74" s="7" t="s">
        <v>412</v>
      </c>
      <c r="B74" s="6" t="s">
        <v>413</v>
      </c>
      <c r="C74" s="6">
        <v>74</v>
      </c>
    </row>
    <row r="75" spans="1:3">
      <c r="A75" s="7" t="s">
        <v>414</v>
      </c>
      <c r="B75" s="6" t="s">
        <v>415</v>
      </c>
      <c r="C75" s="6">
        <v>75</v>
      </c>
    </row>
    <row r="76" spans="1:3">
      <c r="A76" s="7" t="s">
        <v>416</v>
      </c>
      <c r="B76" s="6" t="s">
        <v>417</v>
      </c>
      <c r="C76" s="6">
        <v>76</v>
      </c>
    </row>
    <row r="77" spans="1:3">
      <c r="A77" s="7" t="s">
        <v>418</v>
      </c>
      <c r="B77" s="6" t="s">
        <v>1424</v>
      </c>
      <c r="C77" s="6">
        <v>77</v>
      </c>
    </row>
    <row r="78" spans="1:3">
      <c r="A78" s="7" t="s">
        <v>419</v>
      </c>
      <c r="B78" s="6" t="s">
        <v>420</v>
      </c>
      <c r="C78" s="6">
        <v>78</v>
      </c>
    </row>
    <row r="79" spans="1:3">
      <c r="A79" s="7" t="s">
        <v>421</v>
      </c>
      <c r="B79" s="6" t="s">
        <v>422</v>
      </c>
      <c r="C79" s="6">
        <v>79</v>
      </c>
    </row>
    <row r="80" spans="1:3">
      <c r="A80" s="7" t="s">
        <v>423</v>
      </c>
      <c r="B80" s="6" t="s">
        <v>424</v>
      </c>
      <c r="C80" s="6">
        <v>80</v>
      </c>
    </row>
    <row r="81" spans="1:3">
      <c r="A81" s="7" t="s">
        <v>425</v>
      </c>
      <c r="B81" s="6" t="s">
        <v>1425</v>
      </c>
      <c r="C81" s="6">
        <v>82</v>
      </c>
    </row>
    <row r="82" spans="1:3">
      <c r="A82" s="7" t="s">
        <v>426</v>
      </c>
      <c r="B82" s="6" t="s">
        <v>1426</v>
      </c>
      <c r="C82" s="6">
        <v>84</v>
      </c>
    </row>
    <row r="83" spans="1:3">
      <c r="A83" s="7" t="s">
        <v>427</v>
      </c>
      <c r="B83" s="6" t="s">
        <v>430</v>
      </c>
      <c r="C83" s="6">
        <v>85</v>
      </c>
    </row>
    <row r="84" spans="1:3">
      <c r="A84" s="7" t="s">
        <v>431</v>
      </c>
      <c r="B84" s="6" t="s">
        <v>432</v>
      </c>
      <c r="C84" s="6">
        <v>91</v>
      </c>
    </row>
    <row r="85" spans="1:3">
      <c r="A85" s="7" t="s">
        <v>433</v>
      </c>
      <c r="B85" s="6" t="s">
        <v>1427</v>
      </c>
      <c r="C85" s="6">
        <v>97</v>
      </c>
    </row>
    <row r="86" spans="1:3">
      <c r="A86" s="7" t="s">
        <v>443</v>
      </c>
      <c r="B86" s="6" t="s">
        <v>1428</v>
      </c>
      <c r="C86" s="6">
        <v>98</v>
      </c>
    </row>
    <row r="87" spans="1:3">
      <c r="A87" s="7" t="s">
        <v>434</v>
      </c>
      <c r="B87" s="6" t="s">
        <v>1429</v>
      </c>
      <c r="C87" s="6">
        <v>99</v>
      </c>
    </row>
    <row r="88" spans="1:3">
      <c r="A88" s="7" t="s">
        <v>435</v>
      </c>
      <c r="B88" s="6" t="s">
        <v>1434</v>
      </c>
      <c r="C88" s="6">
        <v>100</v>
      </c>
    </row>
    <row r="89" spans="1:3">
      <c r="A89" s="7" t="s">
        <v>436</v>
      </c>
      <c r="B89" s="6" t="s">
        <v>1430</v>
      </c>
      <c r="C89" s="6">
        <v>102</v>
      </c>
    </row>
    <row r="90" spans="1:3">
      <c r="A90" s="7" t="s">
        <v>437</v>
      </c>
      <c r="B90" s="6" t="s">
        <v>1431</v>
      </c>
      <c r="C90" s="6">
        <v>104</v>
      </c>
    </row>
    <row r="91" spans="1:3">
      <c r="A91" s="7" t="s">
        <v>438</v>
      </c>
      <c r="B91" s="6" t="s">
        <v>1432</v>
      </c>
      <c r="C91" s="6">
        <v>106</v>
      </c>
    </row>
    <row r="92" spans="1:3">
      <c r="A92" s="7" t="s">
        <v>439</v>
      </c>
      <c r="B92" s="6" t="s">
        <v>1433</v>
      </c>
      <c r="C92" s="6">
        <v>108</v>
      </c>
    </row>
    <row r="93" spans="1:3">
      <c r="A93" s="7"/>
      <c r="B93" s="6"/>
    </row>
    <row r="94" spans="1:3">
      <c r="A94" s="7"/>
    </row>
    <row r="95" spans="1:3">
      <c r="A95" s="1062" t="s">
        <v>244</v>
      </c>
      <c r="B95" s="16"/>
      <c r="C95" s="17"/>
    </row>
    <row r="96" spans="1:3">
      <c r="A96" s="1064" t="s">
        <v>440</v>
      </c>
      <c r="B96" s="6" t="s">
        <v>441</v>
      </c>
      <c r="C96">
        <v>111</v>
      </c>
    </row>
    <row r="99" spans="2:2">
      <c r="B99" s="1066" t="s">
        <v>442</v>
      </c>
    </row>
  </sheetData>
  <phoneticPr fontId="0" type="noConversion"/>
  <pageMargins left="1.5748031496062993" right="0.78740157480314965" top="0.98425196850393704" bottom="1.7716535433070868" header="0.51181102362204722" footer="0.51181102362204722"/>
  <pageSetup paperSize="5" orientation="portrait" horizontalDpi="300" verticalDpi="300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3"/>
  <sheetViews>
    <sheetView topLeftCell="A37" zoomScale="75" workbookViewId="0">
      <selection activeCell="J26" sqref="J26"/>
    </sheetView>
  </sheetViews>
  <sheetFormatPr baseColWidth="10" defaultRowHeight="12.75"/>
  <cols>
    <col min="1" max="1" width="21.140625" customWidth="1"/>
    <col min="2" max="11" width="7.42578125" customWidth="1"/>
  </cols>
  <sheetData>
    <row r="1" spans="1:11">
      <c r="A1" s="1208" t="s">
        <v>694</v>
      </c>
      <c r="B1" s="1208"/>
      <c r="C1" s="1208"/>
      <c r="D1" s="1208"/>
      <c r="E1" s="1208"/>
      <c r="F1" s="1208"/>
      <c r="G1" s="1208"/>
      <c r="H1" s="1208"/>
      <c r="I1" s="1208"/>
      <c r="J1" s="1208"/>
      <c r="K1" s="1208"/>
    </row>
    <row r="2" spans="1:11">
      <c r="A2" s="181"/>
      <c r="B2" s="182"/>
      <c r="C2" s="182"/>
    </row>
    <row r="3" spans="1:11">
      <c r="A3" s="1208" t="s">
        <v>695</v>
      </c>
      <c r="B3" s="1208"/>
      <c r="C3" s="1208"/>
      <c r="D3" s="1208"/>
      <c r="E3" s="1208"/>
      <c r="F3" s="1208"/>
      <c r="G3" s="1208"/>
      <c r="H3" s="1208"/>
      <c r="I3" s="1208"/>
      <c r="J3" s="1208"/>
      <c r="K3" s="1208"/>
    </row>
    <row r="4" spans="1:11">
      <c r="A4" s="117"/>
    </row>
    <row r="5" spans="1:11">
      <c r="A5" s="117"/>
    </row>
    <row r="7" spans="1:11" s="6" customFormat="1" ht="30" customHeight="1">
      <c r="A7" s="68" t="s">
        <v>590</v>
      </c>
      <c r="B7" s="225">
        <v>2005</v>
      </c>
      <c r="C7" s="225">
        <v>2006</v>
      </c>
      <c r="D7" s="225">
        <v>2007</v>
      </c>
      <c r="E7" s="225">
        <v>2008</v>
      </c>
      <c r="F7" s="225">
        <v>2009</v>
      </c>
      <c r="G7" s="225">
        <v>2010</v>
      </c>
      <c r="H7" s="225">
        <v>2011</v>
      </c>
      <c r="I7" s="225">
        <v>2012</v>
      </c>
      <c r="J7" s="225">
        <v>2013</v>
      </c>
      <c r="K7" s="225">
        <v>2014</v>
      </c>
    </row>
    <row r="8" spans="1:11" s="6" customFormat="1" ht="29.25" customHeight="1">
      <c r="A8" s="53" t="s">
        <v>699</v>
      </c>
      <c r="B8" s="222">
        <f>(+'17'!$J11-'33'!$J11)/'7'!$F11*100</f>
        <v>1.0785733282113412</v>
      </c>
      <c r="C8" s="222">
        <f>(+'17'!$J12-'33'!$J12)/'7'!$F12*100</f>
        <v>0.81562753976547087</v>
      </c>
      <c r="D8" s="222">
        <f>(+'17'!$J13-'33'!$J13)/'7'!$F13*100</f>
        <v>0.85701655567755641</v>
      </c>
      <c r="E8" s="222">
        <f>(+'17'!$J14-'33'!$J14)/'7'!$F14*100</f>
        <v>0.83533055824188152</v>
      </c>
      <c r="F8" s="222">
        <f>(+'17'!$J15-'33'!$J15)/'7'!$F15*100</f>
        <v>0.79241486708101927</v>
      </c>
      <c r="G8" s="222">
        <f>(+'17'!$J16-'33'!$J16)/'7'!$F16*100</f>
        <v>0.91738146537122101</v>
      </c>
      <c r="H8" s="222">
        <f>(+'17'!$J17-'33'!$J17)/'7'!$F17*100</f>
        <v>0.74307287984097981</v>
      </c>
      <c r="I8" s="222">
        <f>(+'17'!$J18-'33'!$J18)/'7'!$F18*100</f>
        <v>0.72770261394982272</v>
      </c>
      <c r="J8" s="222">
        <f>(+'17'!$J19-'33'!$J19)/'7'!$F19*100</f>
        <v>0.73216480175926524</v>
      </c>
      <c r="K8" s="222">
        <f>(+'17'!$J20-'33'!$J20)/'7'!$F20*100</f>
        <v>0.7862576937290533</v>
      </c>
    </row>
    <row r="9" spans="1:11" s="6" customFormat="1" ht="29.25" customHeight="1">
      <c r="A9" s="53" t="s">
        <v>700</v>
      </c>
      <c r="B9" s="222">
        <f>(+'17'!$L11-'33'!$L11)/'7'!$G11*100</f>
        <v>0.88916718847839704</v>
      </c>
      <c r="C9" s="222">
        <f>(+'17'!$L12-'33'!$L12)/'7'!$G12*100</f>
        <v>0.92524056254626208</v>
      </c>
      <c r="D9" s="222">
        <f>(+'17'!$L13-'33'!$L13)/'7'!$G13*100</f>
        <v>0.81374870954029277</v>
      </c>
      <c r="E9" s="222">
        <f>(+'17'!$L14-'33'!$L14)/'7'!$G14*100</f>
        <v>1.0046044370029301</v>
      </c>
      <c r="F9" s="222">
        <f>(+'17'!$L15-'33'!$L15)/'7'!$G15*100</f>
        <v>1.1375692561593775</v>
      </c>
      <c r="G9" s="222">
        <f>(+'17'!$L16-'33'!$L16)/'7'!$G16*100</f>
        <v>0.87698919735160874</v>
      </c>
      <c r="H9" s="222">
        <f>(+'17'!$L17-'33'!$L17)/'7'!$G17*100</f>
        <v>0.80243021722932306</v>
      </c>
      <c r="I9" s="222">
        <f>(+'17'!$L18-'33'!$L18)/'7'!$G18*100</f>
        <v>0.75804717995134918</v>
      </c>
      <c r="J9" s="222">
        <f>(+'17'!$L19-'33'!$L19)/'7'!$G19*100</f>
        <v>0.88802010611561022</v>
      </c>
      <c r="K9" s="222">
        <f>(+'17'!$L20-'33'!$L20)/'7'!$G20*100</f>
        <v>0.80480679124634802</v>
      </c>
    </row>
    <row r="10" spans="1:11" s="6" customFormat="1" ht="29.25" customHeight="1">
      <c r="A10" s="53" t="s">
        <v>475</v>
      </c>
      <c r="B10" s="222">
        <f>(+'17'!$N11-'33'!$N11)/'7'!$H11*100</f>
        <v>0.84512217527099032</v>
      </c>
      <c r="C10" s="222">
        <f>(+'17'!$N12-'33'!$N12)/'7'!$H12*100</f>
        <v>0.91541559868180156</v>
      </c>
      <c r="D10" s="222">
        <f>(+'17'!$N13-'33'!$N13)/'7'!$H13*100</f>
        <v>0.81152548554755177</v>
      </c>
      <c r="E10" s="222">
        <f>(+'17'!$N14-'33'!$N14)/'7'!$H14*100</f>
        <v>0.91868291795524826</v>
      </c>
      <c r="F10" s="222">
        <f>(+'17'!$N15-'33'!$N15)/'7'!$H15*100</f>
        <v>0.89747076420995364</v>
      </c>
      <c r="G10" s="222">
        <f>(+'17'!$N16-'33'!$N16)/'7'!$H16*100</f>
        <v>1.1295861196457619</v>
      </c>
      <c r="H10" s="222">
        <f>(+'17'!$N17-'33'!$N17)/'7'!$H17*100</f>
        <v>0.93879761689835717</v>
      </c>
      <c r="I10" s="222">
        <f>(+'17'!$N18-'33'!$N18)/'7'!$H18*100</f>
        <v>0.89261563429807955</v>
      </c>
      <c r="J10" s="222">
        <f>(+'17'!$N19-'33'!$N19)/'7'!$H19*100</f>
        <v>0.89132979202304863</v>
      </c>
      <c r="K10" s="222">
        <f>(+'17'!$N20-'33'!$N20)/'7'!$H20*100</f>
        <v>0.7289416846652268</v>
      </c>
    </row>
    <row r="11" spans="1:11" s="6" customFormat="1" ht="29.25" customHeight="1">
      <c r="A11" s="53" t="s">
        <v>483</v>
      </c>
      <c r="B11" s="222">
        <f>(+'17'!$P11-'33'!$P11)/'7'!$I11*100</f>
        <v>1.111864406779661</v>
      </c>
      <c r="C11" s="222">
        <f>(+'17'!$P12-'33'!$P12)/'7'!$I12*100</f>
        <v>0.86956521739130432</v>
      </c>
      <c r="D11" s="222">
        <f>(+'17'!$P13-'33'!$P13)/'7'!$I13*100</f>
        <v>0.84410445792666855</v>
      </c>
      <c r="E11" s="222">
        <f>(+'17'!$P14-'33'!$P14)/'7'!$I14*100</f>
        <v>0.96128864640166278</v>
      </c>
      <c r="F11" s="222">
        <f>(+'17'!$P15-'33'!$P15)/'7'!$I15*100</f>
        <v>1.2820512820512819</v>
      </c>
      <c r="G11" s="222">
        <f>(+'17'!$P16-'33'!$P16)/'7'!$I16*100</f>
        <v>1.441213653603034</v>
      </c>
      <c r="H11" s="222">
        <f>(+'17'!$P17-'33'!$P17)/'7'!$I17*100</f>
        <v>1.2873390826146731</v>
      </c>
      <c r="I11" s="222">
        <f>(+'17'!$P18-'33'!$P18)/'7'!$I18*100</f>
        <v>1.1256803562592776</v>
      </c>
      <c r="J11" s="222">
        <f>(+'17'!$P19-'33'!$P19)/'7'!$I19*100</f>
        <v>1.1981904878346987</v>
      </c>
      <c r="K11" s="222">
        <f>(+'17'!$P20-'33'!$P20)/'7'!$I20*100</f>
        <v>0.93085106382978722</v>
      </c>
    </row>
    <row r="12" spans="1:11" s="6" customFormat="1" ht="29.25" customHeight="1">
      <c r="A12" s="53" t="s">
        <v>701</v>
      </c>
      <c r="B12" s="222">
        <f>(+'17'!$H11-'33'!$H11)/'7'!$E11*100</f>
        <v>1.0263656255826048</v>
      </c>
      <c r="C12" s="222">
        <f>(+'17'!$H12-'33'!$H12)/'7'!$E12*100</f>
        <v>0.84722020963145428</v>
      </c>
      <c r="D12" s="222">
        <f>(+'17'!$H13-'33'!$H13)/'7'!$E13*100</f>
        <v>0.8445640698857747</v>
      </c>
      <c r="E12" s="222">
        <f>(+'17'!$H14-'33'!$H14)/'7'!$E14*100</f>
        <v>0.87950994717320452</v>
      </c>
      <c r="F12" s="222">
        <f>(+'17'!$H15-'33'!$H15)/'7'!$E15*100</f>
        <v>0.89239571797711337</v>
      </c>
      <c r="G12" s="222">
        <f>(+'17'!$H16-'33'!$H16)/'7'!$E16*100</f>
        <v>0.97007937013028345</v>
      </c>
      <c r="H12" s="222">
        <f>(+'17'!$H17-'33'!$H17)/'7'!$E17*100</f>
        <v>0.81087141767950854</v>
      </c>
      <c r="I12" s="222">
        <f>(+'17'!$H18-'33'!$H18)/'7'!$E18*100</f>
        <v>0.77711493866279591</v>
      </c>
      <c r="J12" s="222">
        <f>(+'17'!$H19-'33'!$H19)/'7'!$E19*100</f>
        <v>0.80526830631637791</v>
      </c>
      <c r="K12" s="222">
        <f>(+'17'!$H20-'33'!$H20)/'7'!$E20*100</f>
        <v>0.79397920653804377</v>
      </c>
    </row>
    <row r="13" spans="1:11" s="6" customFormat="1" ht="15" customHeight="1">
      <c r="A13" s="53"/>
      <c r="B13" s="44"/>
      <c r="C13" s="44"/>
      <c r="D13" s="44"/>
      <c r="E13" s="44"/>
      <c r="F13" s="44"/>
      <c r="G13" s="44"/>
      <c r="H13" s="44"/>
      <c r="I13" s="44"/>
      <c r="J13" s="44"/>
      <c r="K13" s="44"/>
    </row>
    <row r="14" spans="1:11" s="6" customFormat="1" ht="29.25" customHeight="1">
      <c r="A14" s="53" t="s">
        <v>702</v>
      </c>
      <c r="B14" s="222">
        <f>(+'17'!$T11-'33'!$T11)/'7'!$K11*100</f>
        <v>1.1491177423216121</v>
      </c>
      <c r="C14" s="222">
        <f>(+'17'!$T12-'33'!$T12)/'7'!$K12*100</f>
        <v>1.0100309391345368</v>
      </c>
      <c r="D14" s="222">
        <f>(+'17'!$T13-'33'!$T13)/'7'!$K13*100</f>
        <v>1.0319987971404749</v>
      </c>
      <c r="E14" s="222">
        <f>(+'17'!$T14-'33'!$T14)/'7'!$K14*100</f>
        <v>1.0749356789740965</v>
      </c>
      <c r="F14" s="222">
        <f>(+'17'!$T15-'33'!$T15)/'7'!$K15*100</f>
        <v>0.95349393110408742</v>
      </c>
      <c r="G14" s="222">
        <f>(+'17'!$T16-'33'!$T16)/'7'!$K16*100</f>
        <v>0.98586017282010996</v>
      </c>
      <c r="H14" s="222">
        <f>(+'17'!$T17-'33'!$T17)/'7'!$K17*100</f>
        <v>0.94193348321575321</v>
      </c>
      <c r="I14" s="222">
        <f>(+'17'!$T18-'33'!$T18)/'7'!$K18*100</f>
        <v>0.88233794053144288</v>
      </c>
      <c r="J14" s="222">
        <f>(+'17'!$T19-'33'!$T19)/'7'!$K19*100</f>
        <v>0.69977597100208933</v>
      </c>
      <c r="K14" s="222">
        <f>(+'17'!$T20-'33'!$T20)/'7'!$K20*100</f>
        <v>0.69459113557574026</v>
      </c>
    </row>
    <row r="15" spans="1:11" s="6" customFormat="1" ht="29.25" customHeight="1">
      <c r="A15" s="53" t="s">
        <v>445</v>
      </c>
      <c r="B15" s="222">
        <f>(+'17'!$V11-'33'!$V11)/'7'!$L11*100</f>
        <v>0.45805358599485474</v>
      </c>
      <c r="C15" s="222">
        <f>(+'17'!$V12-'33'!$V12)/'7'!$L12*100</f>
        <v>0.51421844991016663</v>
      </c>
      <c r="D15" s="222">
        <f>(+'17'!$V13-'33'!$V13)/'7'!$L13*100</f>
        <v>0.34271725826193389</v>
      </c>
      <c r="E15" s="222">
        <f>(+'17'!$V14-'33'!$V14)/'7'!$L14*100</f>
        <v>0.56828486790399613</v>
      </c>
      <c r="F15" s="222">
        <f>(+'17'!$V15-'33'!$V15)/'7'!$L15*100</f>
        <v>0.56136160047775452</v>
      </c>
      <c r="G15" s="222">
        <f>(+'17'!$V16-'33'!$V16)/'7'!$L16*100</f>
        <v>0.47180938900684127</v>
      </c>
      <c r="H15" s="222">
        <f>(+'17'!$V17-'33'!$V17)/'7'!$L17*100</f>
        <v>0.50737738379891517</v>
      </c>
      <c r="I15" s="222">
        <f>(+'17'!$V18-'33'!$V18)/'7'!$L18*100</f>
        <v>0.46723580987540375</v>
      </c>
      <c r="J15" s="222">
        <f>(+'17'!$V19-'33'!$V19)/'7'!$L19*100</f>
        <v>0.50213980028530669</v>
      </c>
      <c r="K15" s="222">
        <f>(+'17'!$V20-'33'!$V20)/'7'!$L20*100</f>
        <v>0.40641228268232105</v>
      </c>
    </row>
    <row r="16" spans="1:11" s="6" customFormat="1" ht="29.25" customHeight="1">
      <c r="A16" s="53" t="s">
        <v>703</v>
      </c>
      <c r="B16" s="222">
        <f>(+'17'!$X11-'33'!$X11)/'7'!$M11*100</f>
        <v>0.7390233299521809</v>
      </c>
      <c r="C16" s="222">
        <f>(+'17'!$X12-'33'!$X12)/'7'!$M12*100</f>
        <v>0.75344431687715274</v>
      </c>
      <c r="D16" s="222">
        <f>(+'17'!$X13-'33'!$X13)/'7'!$M13*100</f>
        <v>0.90378593794477657</v>
      </c>
      <c r="E16" s="222">
        <f>(+'17'!$X14-'33'!$X14)/'7'!$M14*100</f>
        <v>0.67720090293453727</v>
      </c>
      <c r="F16" s="222">
        <f>(+'17'!$X15-'33'!$X15)/'7'!$M15*100</f>
        <v>0.75408462505236695</v>
      </c>
      <c r="G16" s="222">
        <f>(+'17'!$X16-'33'!$X16)/'7'!$M16*100</f>
        <v>0.67885840953172627</v>
      </c>
      <c r="H16" s="222">
        <f>(+'17'!$X17-'33'!$X17)/'7'!$M17*100</f>
        <v>1.1826182618261827</v>
      </c>
      <c r="I16" s="222">
        <f>(+'17'!$X18-'33'!$X18)/'7'!$M18*100</f>
        <v>0.64155064155064156</v>
      </c>
      <c r="J16" s="222">
        <f>(+'17'!$X19-'33'!$X19)/'7'!$M19*100</f>
        <v>0.88117670982173113</v>
      </c>
      <c r="K16" s="222">
        <f>(+'17'!$X20-'33'!$X20)/'7'!$M20*100</f>
        <v>0.59876210979547906</v>
      </c>
    </row>
    <row r="17" spans="1:11" s="6" customFormat="1" ht="29.25" customHeight="1">
      <c r="A17" s="53" t="s">
        <v>468</v>
      </c>
      <c r="B17" s="222">
        <f>(+'17'!$Z11-'33'!$Z11)/'7'!$N11*100</f>
        <v>1.2002259248799774</v>
      </c>
      <c r="C17" s="222">
        <f>(+'17'!$Z12-'33'!$Z12)/'7'!$N12*100</f>
        <v>1.0772243984331282</v>
      </c>
      <c r="D17" s="222">
        <f>(+'17'!$Z13-'33'!$Z13)/'7'!$N13*100</f>
        <v>0.65096952908587258</v>
      </c>
      <c r="E17" s="222">
        <f>(+'17'!$Z14-'33'!$Z14)/'7'!$N14*100</f>
        <v>1.2342292923752056</v>
      </c>
      <c r="F17" s="222">
        <f>(+'17'!$Z15-'33'!$Z15)/'7'!$N15*100</f>
        <v>0.87015635622025833</v>
      </c>
      <c r="G17" s="222">
        <f>(+'17'!$Z16-'33'!$Z16)/'7'!$N16*100</f>
        <v>1.0631139819674336</v>
      </c>
      <c r="H17" s="222">
        <f>(+'17'!$Z17-'33'!$Z17)/'7'!$N17*100</f>
        <v>0.86747631122380886</v>
      </c>
      <c r="I17" s="222">
        <f>(+'17'!$Z18-'33'!$Z18)/'7'!$N18*100</f>
        <v>0.7146638433033351</v>
      </c>
      <c r="J17" s="222">
        <f>(+'17'!$Z19-'33'!$Z19)/'7'!$N19*100</f>
        <v>0.72206905605881588</v>
      </c>
      <c r="K17" s="222">
        <f>(+'17'!$Z20-'33'!$Z20)/'7'!$N20*100</f>
        <v>0.83311637594376475</v>
      </c>
    </row>
    <row r="18" spans="1:11" s="6" customFormat="1" ht="29.25" customHeight="1">
      <c r="A18" s="53" t="s">
        <v>704</v>
      </c>
      <c r="B18" s="222">
        <f>(+'17'!$AB11-'33'!$AB11)/'7'!$O11*100</f>
        <v>0.97597269027090894</v>
      </c>
      <c r="C18" s="222">
        <f>(+'17'!$AB12-'33'!$AB12)/'7'!$O12*100</f>
        <v>0.83989729753252973</v>
      </c>
      <c r="D18" s="222">
        <f>(+'17'!$AB13-'33'!$AB13)/'7'!$O13*100</f>
        <v>0.77925451318238881</v>
      </c>
      <c r="E18" s="222">
        <f>(+'17'!$AB14-'33'!$AB14)/'7'!$O14*100</f>
        <v>0.74928946688485065</v>
      </c>
      <c r="F18" s="222">
        <f>(+'17'!$AB15-'33'!$AB15)/'7'!$O15*100</f>
        <v>0.90807847168679867</v>
      </c>
      <c r="G18" s="222">
        <f>(+'17'!$AB16-'33'!$AB16)/'7'!$O16*100</f>
        <v>0.92020619435095652</v>
      </c>
      <c r="H18" s="222">
        <f>(+'17'!$AB17-'33'!$AB17)/'7'!$O17*100</f>
        <v>0.73432658432021725</v>
      </c>
      <c r="I18" s="222">
        <f>(+'17'!$AB18-'33'!$AB18)/'7'!$O18*100</f>
        <v>0.98147051357982906</v>
      </c>
      <c r="J18" s="222">
        <f>(+'17'!$AB19-'33'!$AB19)/'7'!$O19*100</f>
        <v>0.87660148347943356</v>
      </c>
      <c r="K18" s="222">
        <f>(+'17'!$AB20-'33'!$AB20)/'7'!$O20*100</f>
        <v>0.9323813523729525</v>
      </c>
    </row>
    <row r="19" spans="1:11" s="6" customFormat="1" ht="29.25" customHeight="1">
      <c r="A19" s="53" t="s">
        <v>470</v>
      </c>
      <c r="B19" s="222">
        <f>(+'17'!$AD11-'33'!$AD11)/'7'!$P11*100</f>
        <v>1.1604361370716509</v>
      </c>
      <c r="C19" s="222">
        <f>(+'17'!$AD12-'33'!$AD12)/'7'!$P12*100</f>
        <v>0.99086545904938839</v>
      </c>
      <c r="D19" s="222">
        <f>(+'17'!$AD13-'33'!$AD13)/'7'!$P13*100</f>
        <v>0.76964519356576611</v>
      </c>
      <c r="E19" s="222">
        <f>(+'17'!$AD14-'33'!$AD14)/'7'!$P14*100</f>
        <v>0.9866911427260211</v>
      </c>
      <c r="F19" s="222">
        <f>(+'17'!$AD15-'33'!$AD15)/'7'!$P15*100</f>
        <v>0.88259910218367199</v>
      </c>
      <c r="G19" s="222">
        <f>(+'17'!$AD16-'33'!$AD16)/'7'!$P16*100</f>
        <v>1.2406384749224599</v>
      </c>
      <c r="H19" s="222">
        <f>(+'17'!$AD17-'33'!$AD17)/'7'!$P17*100</f>
        <v>0.79066265060240959</v>
      </c>
      <c r="I19" s="222">
        <f>(+'17'!$AD18-'33'!$AD18)/'7'!$P18*100</f>
        <v>0.82582582582582575</v>
      </c>
      <c r="J19" s="222">
        <f>(+'17'!$AD19-'33'!$AD19)/'7'!$P19*100</f>
        <v>0.81501420666965763</v>
      </c>
      <c r="K19" s="222">
        <f>(+'17'!$AD20-'33'!$AD20)/'7'!$P20*100</f>
        <v>0.89425441538117589</v>
      </c>
    </row>
    <row r="20" spans="1:11" s="6" customFormat="1" ht="29.25" customHeight="1">
      <c r="A20" s="53" t="s">
        <v>705</v>
      </c>
      <c r="B20" s="222">
        <f>(+'17'!$R11-'33'!$R11)/'7'!$J11*100</f>
        <v>1.0089115878512551</v>
      </c>
      <c r="C20" s="222">
        <f>(+'17'!$R12-'33'!$R12)/'7'!$J12*100</f>
        <v>0.90496491022665437</v>
      </c>
      <c r="D20" s="222">
        <f>(+'17'!$R13-'33'!$R13)/'7'!$J13*100</f>
        <v>0.86134696962475232</v>
      </c>
      <c r="E20" s="222">
        <f>(+'17'!$R14-'33'!$R14)/'7'!$J14*100</f>
        <v>0.92970338355481941</v>
      </c>
      <c r="F20" s="222">
        <f>(+'17'!$R15-'33'!$R15)/'7'!$J15*100</f>
        <v>0.87342640117699533</v>
      </c>
      <c r="G20" s="222">
        <f>(+'17'!$R16-'33'!$R16)/'7'!$J16*100</f>
        <v>0.91510582968497989</v>
      </c>
      <c r="H20" s="222">
        <f>(+'17'!$R17-'33'!$R17)/'7'!$J17*100</f>
        <v>0.86757008675700864</v>
      </c>
      <c r="I20" s="222">
        <f>(+'17'!$R18-'33'!$R18)/'7'!$J18*100</f>
        <v>0.81520686761763372</v>
      </c>
      <c r="J20" s="222">
        <f>(+'17'!$R19-'33'!$R19)/'7'!$J19*100</f>
        <v>0.73249771493950178</v>
      </c>
      <c r="K20" s="222">
        <f>(+'17'!$R20-'33'!$R20)/'7'!$J20*100</f>
        <v>0.71279356839906305</v>
      </c>
    </row>
    <row r="21" spans="1:11" s="6" customFormat="1" ht="29.25" customHeight="1">
      <c r="A21" s="223" t="s">
        <v>706</v>
      </c>
      <c r="B21" s="224">
        <f>(+'17'!$F11-'33'!$F11)/'7'!$D11*100</f>
        <v>1.0161591303568374</v>
      </c>
      <c r="C21" s="224">
        <f>(+'17'!$F12-'33'!$F12)/'7'!$D12*100</f>
        <v>0.88093151169616501</v>
      </c>
      <c r="D21" s="224">
        <f>(+'17'!$F13-'33'!$F13)/'7'!$D13*100</f>
        <v>0.85434473782370257</v>
      </c>
      <c r="E21" s="224">
        <f>(+'17'!$F14-'33'!$F14)/'7'!$D14*100</f>
        <v>0.90871346541013531</v>
      </c>
      <c r="F21" s="224">
        <f>(+'17'!$F15-'33'!$F15)/'7'!$D15*100</f>
        <v>0.88137585904174054</v>
      </c>
      <c r="G21" s="224">
        <f>(+'17'!$F16-'33'!$F16)/'7'!$D16*100</f>
        <v>0.93819448156831597</v>
      </c>
      <c r="H21" s="224">
        <f>(+'17'!$F17-'33'!$F17)/'7'!$D17*100</f>
        <v>0.84370823927339167</v>
      </c>
      <c r="I21" s="224">
        <f>(+'17'!$F18-'33'!$F18)/'7'!$D18*100</f>
        <v>0.79914300217982026</v>
      </c>
      <c r="J21" s="224">
        <f>(+'17'!$F19-'33'!$F19)/'7'!$D19*100</f>
        <v>0.76324890107659427</v>
      </c>
      <c r="K21" s="224">
        <f>(+'17'!$F20-'33'!$F20)/'7'!$D20*100</f>
        <v>0.74716755241488053</v>
      </c>
    </row>
    <row r="23" spans="1:11">
      <c r="K23" s="228"/>
    </row>
  </sheetData>
  <mergeCells count="2">
    <mergeCell ref="A1:K1"/>
    <mergeCell ref="A3:K3"/>
  </mergeCells>
  <phoneticPr fontId="19" type="noConversion"/>
  <pageMargins left="0.78740157480314965" right="0.78740157480314965" top="1.1811023622047245" bottom="0.78740157480314965" header="0.51181102362204722" footer="0.51181102362204722"/>
  <pageSetup paperSize="5" scale="90" orientation="portrait" horizontalDpi="300" verticalDpi="300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3"/>
  <sheetViews>
    <sheetView topLeftCell="A40" workbookViewId="0">
      <selection activeCell="H7" sqref="H7"/>
    </sheetView>
  </sheetViews>
  <sheetFormatPr baseColWidth="10" defaultRowHeight="12.75"/>
  <cols>
    <col min="1" max="1" width="18.7109375" customWidth="1"/>
    <col min="2" max="2" width="10" customWidth="1"/>
    <col min="3" max="4" width="9.5703125" customWidth="1"/>
    <col min="5" max="5" width="10" customWidth="1"/>
    <col min="6" max="9" width="8.7109375" customWidth="1"/>
    <col min="10" max="10" width="7.140625" customWidth="1"/>
    <col min="11" max="11" width="6" customWidth="1"/>
  </cols>
  <sheetData>
    <row r="1" spans="1:11">
      <c r="A1" s="147" t="s">
        <v>664</v>
      </c>
      <c r="B1" s="148"/>
      <c r="C1" s="148"/>
      <c r="D1" s="148"/>
      <c r="E1" s="148"/>
      <c r="F1" s="148"/>
      <c r="G1" s="148"/>
      <c r="H1" s="148"/>
      <c r="I1" s="148"/>
    </row>
    <row r="2" spans="1:11">
      <c r="A2" s="149" t="s">
        <v>665</v>
      </c>
      <c r="B2" s="117"/>
      <c r="C2" s="117"/>
      <c r="D2" s="117"/>
      <c r="E2" s="117"/>
      <c r="F2" s="117"/>
      <c r="G2" s="117"/>
      <c r="H2" s="117"/>
      <c r="I2" s="117"/>
    </row>
    <row r="3" spans="1:11">
      <c r="A3" s="149"/>
      <c r="B3" s="117"/>
      <c r="C3" s="117"/>
      <c r="D3" s="117"/>
      <c r="E3" s="117"/>
      <c r="F3" s="117"/>
      <c r="G3" s="117"/>
      <c r="H3" s="117"/>
      <c r="I3" s="117"/>
    </row>
    <row r="4" spans="1:11">
      <c r="A4" s="149" t="s">
        <v>1463</v>
      </c>
      <c r="B4" s="13"/>
      <c r="C4" s="13"/>
      <c r="D4" s="13"/>
      <c r="E4" s="13"/>
      <c r="F4" s="13"/>
      <c r="G4" s="13"/>
      <c r="H4" s="13"/>
      <c r="I4" s="13"/>
    </row>
    <row r="6" spans="1:11" ht="24" customHeight="1">
      <c r="A6" s="12" t="s">
        <v>568</v>
      </c>
      <c r="B6" s="150">
        <v>2008</v>
      </c>
      <c r="C6" s="150">
        <v>2009</v>
      </c>
      <c r="D6" s="150">
        <v>2010</v>
      </c>
      <c r="E6" s="150">
        <v>2011</v>
      </c>
      <c r="F6" s="150">
        <v>2012</v>
      </c>
      <c r="G6" s="150">
        <v>2013</v>
      </c>
      <c r="H6" s="150">
        <v>2014</v>
      </c>
      <c r="I6" s="1159"/>
    </row>
    <row r="7" spans="1:11" ht="23.25" customHeight="1">
      <c r="A7" s="95" t="s">
        <v>575</v>
      </c>
      <c r="B7" s="151">
        <f>+SUM('[2]2008'!$Q$250:$T$250)/SUM('[2]2008'!$D$250:$F$250)*100</f>
        <v>35.044237417237944</v>
      </c>
      <c r="C7" s="151">
        <f>+SUM('[2]2009'!$Q$250:$T$250)/SUM('[2]2009'!$D$250:$F$250)*100</f>
        <v>36.955754295128266</v>
      </c>
      <c r="D7" s="151">
        <f>+SUM('[2]2010'!$Q$250:$T$250)/SUM('[2]2010'!$D$250:$F$250)*100</f>
        <v>38.918439716312058</v>
      </c>
      <c r="E7" s="151">
        <f>+SUM('[2]2011'!$Q$250:$T$250)/SUM('[2]2011'!$D$250:$F$250)*100</f>
        <v>41.115580267360698</v>
      </c>
      <c r="F7" s="151">
        <f>+SUM('[2]2012'!$Q$250:$T$250)/SUM('[2]2012'!$D$250:$F$250)*100</f>
        <v>43.331557449831294</v>
      </c>
      <c r="G7" s="151">
        <f>+SUM('[2]2013'!$Q$250:$T$250)/SUM('[2]2013'!$D$250:$F$250)*100</f>
        <v>45.539628006160413</v>
      </c>
      <c r="H7" s="151">
        <f>+SUM('[2]2014'!$Q$250:$T$250)/SUM('[2]2014'!$D$250:$F$250)*100</f>
        <v>47.755973202110631</v>
      </c>
      <c r="I7" s="1160"/>
      <c r="J7" t="s">
        <v>666</v>
      </c>
      <c r="K7" s="129">
        <f>+H7</f>
        <v>47.755973202110631</v>
      </c>
    </row>
    <row r="8" spans="1:11" ht="23.25" customHeight="1">
      <c r="A8" s="95" t="s">
        <v>576</v>
      </c>
      <c r="B8" s="151">
        <f>+SUM('[2]2008'!$Q$259:$T$259)/SUM('[2]2008'!$D$259:$F$259)*100</f>
        <v>38.934318121867584</v>
      </c>
      <c r="C8" s="151">
        <f>+SUM('[2]2009'!$Q$259:$T$259)/SUM('[2]2009'!$D$259:$F$259)*100</f>
        <v>41.068090787716955</v>
      </c>
      <c r="D8" s="151">
        <f>+SUM('[2]2010'!$Q$259:$T$259)/SUM('[2]2010'!$D$259:$F$259)*100</f>
        <v>43.189189189189186</v>
      </c>
      <c r="E8" s="151">
        <f>+SUM('[2]2011'!$Q$259:$T$259)/SUM('[2]2011'!$D$259:$F$259)*100</f>
        <v>45.461934435112433</v>
      </c>
      <c r="F8" s="151">
        <f>+SUM('[2]2012'!$Q$259:$T$259)/SUM('[2]2012'!$D$259:$F$259)*100</f>
        <v>47.622928552023907</v>
      </c>
      <c r="G8" s="151">
        <f>+SUM('[2]2013'!$Q$259:$T$259)/SUM('[2]2012'!$D$259:$F$259)*100</f>
        <v>49.741917957076879</v>
      </c>
      <c r="H8" s="151">
        <f>+SUM('[2]2014'!$Q$259:$T$259)/SUM('[2]2012'!$D$259:$F$259)*100</f>
        <v>51.806574300461826</v>
      </c>
      <c r="I8" s="1160"/>
      <c r="J8" t="s">
        <v>667</v>
      </c>
      <c r="K8" s="129">
        <f>+H8</f>
        <v>51.806574300461826</v>
      </c>
    </row>
    <row r="9" spans="1:11" ht="23.25" customHeight="1">
      <c r="A9" s="95" t="s">
        <v>577</v>
      </c>
      <c r="B9" s="151">
        <f>+SUM('[2]2008'!$Q$253:$T$253)/SUM('[2]2008'!$D$253:$F$253)*100</f>
        <v>41.940594059405939</v>
      </c>
      <c r="C9" s="151">
        <f>+SUM('[2]2009'!$Q$253:$T$253)/SUM('[2]2009'!$D$253:$F$253)*100</f>
        <v>44.336569579288025</v>
      </c>
      <c r="D9" s="151">
        <f>+SUM('[2]2010'!$Q$253:$T$253)/SUM('[2]2010'!$D$253:$F$253)*100</f>
        <v>46.754857379082267</v>
      </c>
      <c r="E9" s="151">
        <f>+SUM('[2]2011'!$Q$253:$T$253)/SUM('[2]2011'!$D$253:$F$253)*100</f>
        <v>48.994974874371863</v>
      </c>
      <c r="F9" s="151">
        <f>+SUM('[2]2012'!$Q$253:$T$253)/SUM('[2]2012'!$D$253:$F$253)*100</f>
        <v>51.381215469613259</v>
      </c>
      <c r="G9" s="151">
        <f>+SUM('[2]2013'!$Q$253:$T$253)/SUM('[2]2013'!$D$253:$F$253)*100</f>
        <v>53.726841878500643</v>
      </c>
      <c r="H9" s="151">
        <f>+SUM('[2]2014'!$Q$253:$T$253)/SUM('[2]2014'!$D$253:$F$253)*100</f>
        <v>56.192560175054709</v>
      </c>
      <c r="I9" s="1160"/>
      <c r="J9" t="s">
        <v>668</v>
      </c>
      <c r="K9" s="129">
        <f>+H9</f>
        <v>56.192560175054709</v>
      </c>
    </row>
    <row r="10" spans="1:11" ht="23.25" customHeight="1">
      <c r="A10" s="95" t="s">
        <v>578</v>
      </c>
      <c r="B10" s="151">
        <f>+SUM('[2]2008'!$Q$256:$T$256)/SUM('[2]2008'!$D$256:$F$256)*100</f>
        <v>44.827586206896555</v>
      </c>
      <c r="C10" s="151">
        <f>+SUM('[2]2009'!$Q$256:$T$256)/SUM('[2]2009'!$D$256:$F$256)*100</f>
        <v>47.365304914150386</v>
      </c>
      <c r="D10" s="151">
        <f>+SUM('[2]2010'!$Q$256:$T$256)/SUM('[2]2010'!$D$256:$F$256)*100</f>
        <v>49.820788530465947</v>
      </c>
      <c r="E10" s="151">
        <f>+SUM('[2]2011'!$Q$256:$T$256)/SUM('[2]2011'!$D$256:$F$256)*100</f>
        <v>51.794258373205736</v>
      </c>
      <c r="F10" s="151">
        <f>+SUM('[2]2012'!$Q$256:$T$256)/SUM('[2]2012'!$D$256:$F$256)*100</f>
        <v>53.94736842105263</v>
      </c>
      <c r="G10" s="151">
        <f>+SUM('[2]2013'!$Q$256:$T$256)/SUM('[2]2013'!$D$256:$F$256)*100</f>
        <v>56.34730538922156</v>
      </c>
      <c r="H10" s="151">
        <f>+SUM('[2]2014'!$Q$256:$T$256)/SUM('[2]2014'!$D$256:$F$256)*100</f>
        <v>58.513189448441253</v>
      </c>
      <c r="I10" s="1160"/>
      <c r="J10" t="s">
        <v>669</v>
      </c>
      <c r="K10" s="129">
        <f>+H10</f>
        <v>58.513189448441253</v>
      </c>
    </row>
    <row r="11" spans="1:11" ht="23.25" customHeight="1">
      <c r="A11" s="102" t="s">
        <v>579</v>
      </c>
      <c r="B11" s="151">
        <f>(SUM('[2]2008'!$Q$250:$T$250)+SUM('[2]2008'!$Q$253:$T$253)+SUM('[2]2008'!$Q$256:$T$256)+SUM('[2]2008'!$Q$259:$T$259))/(SUM('[2]2008'!$D$250:$F$250)+SUM('[2]2008'!$D$253:$F$253)+SUM('[2]2008'!$D$256:$F$256)+SUM('[2]2008'!$D$259:$F$259))*100</f>
        <v>36.99290667091735</v>
      </c>
      <c r="C11" s="151">
        <f>(SUM('[2]2009'!$Q$250:$T$250)+SUM('[2]2009'!$Q$253:$T$253)+SUM('[2]2009'!$Q$256:$T$256)+SUM('[2]2009'!$Q$259:$T$259))/(SUM('[2]2009'!$D$250:$F$250)+SUM('[2]2009'!$D$253:$F$253)+SUM('[2]2009'!$D$256:$F$256)+SUM('[2]2009'!$D$259:$F$259))*100</f>
        <v>39.012930688298134</v>
      </c>
      <c r="D11" s="151">
        <f>(SUM('[2]2010'!$Q$250:$T$250)+SUM('[2]2010'!$Q$253:$T$253)+SUM('[2]2010'!$Q$256:$T$256)+SUM('[2]2010'!$Q$259:$T$259))/(SUM('[2]2010'!$D$250:$F$250)+SUM('[2]2010'!$D$253:$F$253)+SUM('[2]2010'!$D$256:$F$256)+SUM('[2]2010'!$D$259:$F$259))*100</f>
        <v>41.063407922955534</v>
      </c>
      <c r="E11" s="151">
        <f>(SUM('[2]2011'!$Q$250:$T$250)+SUM('[2]2011'!$Q$253:$T$253)+SUM('[2]2011'!$Q$256:$T$256)+SUM('[2]2011'!$Q$259:$T$259))/(SUM('[2]2011'!$D$250:$F$250)+SUM('[2]2011'!$D$253:$F$253)+SUM('[2]2011'!$D$256:$F$256)+SUM('[2]2011'!$D$259:$F$259))*100</f>
        <v>43.253437157805088</v>
      </c>
      <c r="F11" s="151">
        <f>(SUM('[2]2012'!$Q$250:$T$250)+SUM('[2]2012'!$Q$253:$T$253)+SUM('[2]2012'!$Q$256:$T$256)+SUM('[2]2012'!$Q$259:$T$259))/(SUM('[2]2012'!$D$250:$F$250)+SUM('[2]2012'!$D$253:$F$253)+SUM('[2]2012'!$D$256:$F$256)+SUM('[2]2012'!$D$259:$F$259))*100</f>
        <v>45.465262815561609</v>
      </c>
      <c r="G11" s="151">
        <f>(SUM('[2]2013'!$Q$250:$T$250)+SUM('[2]2013'!$Q$253:$T$253)+SUM('[2]2013'!$Q$256:$T$256)+SUM('[2]2013'!$Q$259:$T$259))/(SUM('[2]2013'!$D$250:$F$250)+SUM('[2]2013'!$D$253:$F$253)+SUM('[2]2013'!$D$256:$F$256)+SUM('[2]2013'!$D$259:$F$259))*100</f>
        <v>47.698011734028682</v>
      </c>
      <c r="H11" s="151">
        <f>(SUM('[2]2014'!$Q$250:$T$250)+SUM('[2]2014'!$Q$253:$T$253)+SUM('[2]2014'!$Q$256:$T$256)+SUM('[2]2014'!$Q$259:$T$259))/(SUM('[2]2014'!$D$250:$F$250)+SUM('[2]2014'!$D$253:$F$253)+SUM('[2]2014'!$D$256:$F$256)+SUM('[2]2014'!$D$259:$F$259))*100</f>
        <v>49.922391961441058</v>
      </c>
      <c r="I11" s="1160"/>
      <c r="J11" t="s">
        <v>670</v>
      </c>
      <c r="K11" s="129">
        <f t="shared" ref="K11:K16" si="0">+H12</f>
        <v>48.375131484249572</v>
      </c>
    </row>
    <row r="12" spans="1:11" ht="23.25" customHeight="1">
      <c r="A12" s="95" t="s">
        <v>580</v>
      </c>
      <c r="B12" s="151">
        <f>+SUM('[2]2008'!$Q$247:$T$247)/SUM('[2]2008'!$D$247:$F$247)*100</f>
        <v>37.260919603222447</v>
      </c>
      <c r="C12" s="151">
        <f>+SUM('[2]2009'!$Q$247:$T$247)/SUM('[2]2009'!$D$247:$F$247)*100</f>
        <v>38.913977310276458</v>
      </c>
      <c r="D12" s="151">
        <f>+SUM('[2]2010'!$Q$247:$T$247)/SUM('[2]2010'!$D$247:$F$247)*100</f>
        <v>40.615316511730853</v>
      </c>
      <c r="E12" s="151">
        <f>+SUM('[2]2011'!$Q$247:$T$247)/SUM('[2]2011'!$D$247:$F$247)*100</f>
        <v>42.560611092660245</v>
      </c>
      <c r="F12" s="151">
        <f>+SUM('[2]2012'!$Q$247:$T$247)/SUM('[2]2012'!$D$247:$F$247)*100</f>
        <v>44.49548901311784</v>
      </c>
      <c r="G12" s="151">
        <f>+SUM('[2]2013'!$Q$247:$T$247)/SUM('[2]2013'!$D$247:$F$247)*100</f>
        <v>46.449327503182595</v>
      </c>
      <c r="H12" s="151">
        <f>+SUM('[2]2014'!$Q$247:$T$247)/SUM('[2]2014'!$D$247:$F$247)*100</f>
        <v>48.375131484249572</v>
      </c>
      <c r="I12" s="1160"/>
      <c r="J12" t="s">
        <v>671</v>
      </c>
      <c r="K12" s="129">
        <f t="shared" si="0"/>
        <v>57.770270270270274</v>
      </c>
    </row>
    <row r="13" spans="1:11" ht="23.25" customHeight="1">
      <c r="A13" s="95" t="s">
        <v>581</v>
      </c>
      <c r="B13" s="151">
        <f>+SUM('[2]2008'!$Q$271:$T$271)/SUM('[2]2008'!$D$271:$F$271)*100</f>
        <v>48.562628336755651</v>
      </c>
      <c r="C13" s="151">
        <f>+SUM('[2]2009'!$Q$271:$T$271)/SUM('[2]2009'!$D$271:$F$271)*100</f>
        <v>50.297850297850303</v>
      </c>
      <c r="D13" s="151">
        <f>+SUM('[2]2010'!$Q$271:$T$271)/SUM('[2]2010'!$D$271:$F$271)*100</f>
        <v>52.140992167101828</v>
      </c>
      <c r="E13" s="151">
        <f>+SUM('[2]2011'!$Q$271:$T$271)/SUM('[2]2011'!$D$271:$F$271)*100</f>
        <v>53.507170795306394</v>
      </c>
      <c r="F13" s="151">
        <f>+SUM('[2]2012'!$Q$271:$T$271)/SUM('[2]2012'!$D$271:$F$271)*100</f>
        <v>54.936181297212819</v>
      </c>
      <c r="G13" s="151">
        <f>+SUM('[2]2013'!$Q$271:$T$271)/SUM('[2]2013'!$D$271:$F$271)*100</f>
        <v>56.324830817282667</v>
      </c>
      <c r="H13" s="151">
        <f>+SUM('[2]2014'!$Q$271:$T$271)/SUM('[2]2014'!$D$271:$F$271)*100</f>
        <v>57.770270270270274</v>
      </c>
      <c r="I13" s="1160"/>
      <c r="J13" t="s">
        <v>672</v>
      </c>
      <c r="K13" s="129">
        <f t="shared" si="0"/>
        <v>49.880311190903647</v>
      </c>
    </row>
    <row r="14" spans="1:11" ht="23.25" customHeight="1">
      <c r="A14" s="95" t="s">
        <v>582</v>
      </c>
      <c r="B14" s="151">
        <f>+SUM('[2]2008'!$Q$274:$T$274)/SUM('[2]2008'!$D$274:$F$274)*100</f>
        <v>39.39568345323741</v>
      </c>
      <c r="C14" s="151">
        <f>+SUM('[2]2009'!$Q$274:$T$274)/SUM('[2]2009'!$D$274:$F$274)*100</f>
        <v>41.379310344827587</v>
      </c>
      <c r="D14" s="151">
        <f>+SUM('[2]2010'!$Q$274:$T$274)/SUM('[2]2010'!$D$274:$F$274)*100</f>
        <v>43.232972814966388</v>
      </c>
      <c r="E14" s="151">
        <f>+SUM('[2]2011'!$Q$274:$T$274)/SUM('[2]2011'!$D$274:$F$274)*100</f>
        <v>44.885361552028222</v>
      </c>
      <c r="F14" s="151">
        <f>+SUM('[2]2012'!$Q$274:$T$274)/SUM('[2]2012'!$D$274:$F$274)*100</f>
        <v>46.451803666469544</v>
      </c>
      <c r="G14" s="151">
        <f>+SUM('[2]2013'!$Q$274:$T$274)/SUM('[2]2013'!$D$274:$F$274)*100</f>
        <v>48.080928295150258</v>
      </c>
      <c r="H14" s="151">
        <f>+SUM('[2]2014'!$Q$274:$T$274)/SUM('[2]2014'!$D$274:$F$274)*100</f>
        <v>49.880311190903647</v>
      </c>
      <c r="I14" s="1160"/>
      <c r="J14" t="s">
        <v>673</v>
      </c>
      <c r="K14" s="129">
        <f t="shared" si="0"/>
        <v>46.65898617511521</v>
      </c>
    </row>
    <row r="15" spans="1:11" ht="23.25" customHeight="1">
      <c r="A15" s="95" t="s">
        <v>583</v>
      </c>
      <c r="B15" s="151">
        <f>+SUM('[2]2008'!$Q$268:$T$268)/SUM('[2]2008'!$D$268:$F$268)*100</f>
        <v>34.913552704963749</v>
      </c>
      <c r="C15" s="151">
        <f>+SUM('[2]2009'!$Q$268:$T$268)/SUM('[2]2009'!$D$268:$F$268)*100</f>
        <v>36.800452232899943</v>
      </c>
      <c r="D15" s="151">
        <f>+SUM('[2]2010'!$Q$268:$T$268)/SUM('[2]2010'!$D$268:$F$268)*100</f>
        <v>38.739255014326645</v>
      </c>
      <c r="E15" s="151">
        <f>+SUM('[2]2011'!$Q$268:$T$268)/SUM('[2]2011'!$D$268:$F$268)*100</f>
        <v>40.815154994259473</v>
      </c>
      <c r="F15" s="151">
        <f>+SUM('[2]2012'!$Q$268:$T$268)/SUM('[2]2012'!$D$268:$F$268)*100</f>
        <v>42.816091954022987</v>
      </c>
      <c r="G15" s="151">
        <f>+SUM('[2]2013'!$Q$268:$T$268)/SUM('[2]2013'!$D$268:$F$268)*100</f>
        <v>44.764096662830838</v>
      </c>
      <c r="H15" s="151">
        <f>+SUM('[2]2014'!$Q$268:$T$268)/SUM('[2]2014'!$D$268:$F$268)*100</f>
        <v>46.65898617511521</v>
      </c>
      <c r="I15" s="1160"/>
      <c r="J15" t="s">
        <v>674</v>
      </c>
      <c r="K15" s="129">
        <f t="shared" si="0"/>
        <v>49.582929194956357</v>
      </c>
    </row>
    <row r="16" spans="1:11" ht="23.25" customHeight="1">
      <c r="A16" s="95" t="s">
        <v>584</v>
      </c>
      <c r="B16" s="151">
        <f>+SUM('[2]2008'!$Q$265:$T$265)/SUM('[2]2008'!$D$265:$F$265)*100</f>
        <v>38.729060451565914</v>
      </c>
      <c r="C16" s="151">
        <f>+SUM('[2]2009'!$Q$265:$T$265)/SUM('[2]2009'!$D$265:$F$265)*100</f>
        <v>40.585076837622665</v>
      </c>
      <c r="D16" s="151">
        <f>+SUM('[2]2010'!$Q$265:$T$265)/SUM('[2]2010'!$D$265:$F$265)*100</f>
        <v>42.553191489361701</v>
      </c>
      <c r="E16" s="151">
        <f>+SUM('[2]2011'!$Q$265:$T$265)/SUM('[2]2011'!$D$265:$F$265)*100</f>
        <v>44.254835039817976</v>
      </c>
      <c r="F16" s="151">
        <f>+SUM('[2]2012'!$Q$265:$T$265)/SUM('[2]2012'!$D$265:$F$265)*100</f>
        <v>46.005351681957187</v>
      </c>
      <c r="G16" s="151">
        <f>+SUM('[2]2013'!$Q$265:$T$265)/SUM('[2]2013'!$D$265:$F$265)*100</f>
        <v>47.748267898383375</v>
      </c>
      <c r="H16" s="151">
        <f>+SUM('[2]2014'!$Q$265:$T$265)/SUM('[2]2014'!$D$265:$F$265)*100</f>
        <v>49.582929194956357</v>
      </c>
      <c r="I16" s="1160"/>
      <c r="J16" t="s">
        <v>675</v>
      </c>
      <c r="K16" s="129">
        <f t="shared" si="0"/>
        <v>55.658119658119652</v>
      </c>
    </row>
    <row r="17" spans="1:11" ht="23.25" customHeight="1">
      <c r="A17" s="95" t="s">
        <v>585</v>
      </c>
      <c r="B17" s="151">
        <f>+SUM('[2]2008'!$Q$262:$T$262)/SUM('[2]2008'!$D$262:$F$262)*100</f>
        <v>41.629392971246006</v>
      </c>
      <c r="C17" s="151">
        <f>+SUM('[2]2009'!$Q$262:$T$262)/SUM('[2]2009'!$D$262:$F$262)*100</f>
        <v>43.75608173856633</v>
      </c>
      <c r="D17" s="151">
        <f>+SUM('[2]2010'!$Q$262:$T$262)/SUM('[2]2010'!$D$262:$F$262)*100</f>
        <v>46.040092014459418</v>
      </c>
      <c r="E17" s="151">
        <f>+SUM('[2]2011'!$Q$262:$T$262)/SUM('[2]2011'!$D$262:$F$262)*100</f>
        <v>48.325041459369814</v>
      </c>
      <c r="F17" s="151">
        <f>+SUM('[2]2012'!$Q$262:$T$262)/SUM('[2]2012'!$D$262:$F$262)*100</f>
        <v>50.721234485072117</v>
      </c>
      <c r="G17" s="151">
        <f>+SUM('[2]2013'!$Q$262:$T$262)/SUM('[2]2013'!$D$262:$F$262)*100</f>
        <v>53.148273527420443</v>
      </c>
      <c r="H17" s="151">
        <f>+SUM('[2]2014'!$Q$262:$T$262)/SUM('[2]2014'!$D$262:$F$262)*100</f>
        <v>55.658119658119652</v>
      </c>
      <c r="I17" s="1160"/>
    </row>
    <row r="18" spans="1:11" ht="23.25" customHeight="1">
      <c r="A18" s="102" t="s">
        <v>587</v>
      </c>
      <c r="B18" s="151">
        <f>(SUM('[2]2008'!$Q$247:$T$247)+SUM('[2]2008'!$Q$262:$T$262)+SUM('[2]2008'!$Q$265:$T$265)+SUM('[2]2008'!$Q$268:$T$268)+SUM('[2]2008'!$Q$271:$T$271)+SUM('[2]2008'!$Q$274:$T$274))/(SUM('[2]2008'!$D$247:$F$247)+SUM('[2]2008'!$D$262:$F$262)+SUM('[2]2008'!$D$265:$F$265)+SUM('[2]2008'!$D$268:$F$268)+SUM('[2]2008'!$D$271:$F$271)+SUM('[2]2008'!$D$274:$F$274))*100</f>
        <v>39.175200510643023</v>
      </c>
      <c r="C18" s="151">
        <f>(SUM('[2]2009'!$Q$247:$T$247)+SUM('[2]2009'!$Q$262:$T$262)+SUM('[2]2009'!$Q$265:$T$265)+SUM('[2]2009'!$Q$268:$T$268)+SUM('[2]2009'!$Q$271:$T$271)+SUM('[2]2009'!$Q$274:$T$274))/(SUM('[2]2009'!$D$247:$F$247)+SUM('[2]2009'!$D$262:$F$262)+SUM('[2]2009'!$D$265:$F$265)+SUM('[2]2009'!$D$268:$F$268)+SUM('[2]2009'!$D$271:$F$271)+SUM('[2]2009'!$D$274:$F$274))*100</f>
        <v>40.948408588304453</v>
      </c>
      <c r="D18" s="151">
        <f>(SUM('[2]2010'!$Q$247:$T$247)+SUM('[2]2010'!$Q$262:$T$262)+SUM('[2]2010'!$Q$265:$T$265)+SUM('[2]2010'!$Q$268:$T$268)+SUM('[2]2010'!$Q$271:$T$271)+SUM('[2]2010'!$Q$274:$T$274))/(SUM('[2]2010'!$D$247:$F$247)+SUM('[2]2010'!$D$262:$F$262)+SUM('[2]2010'!$D$265:$F$265)+SUM('[2]2010'!$D$268:$F$268)+SUM('[2]2010'!$D$271:$F$271)+SUM('[2]2010'!$D$274:$F$274))*100</f>
        <v>42.778499237761842</v>
      </c>
      <c r="E18" s="151">
        <f>(SUM('[2]2011'!$Q$247:$T$247)+SUM('[2]2011'!$Q$262:$T$262)+SUM('[2]2011'!$Q$265:$T$265)+SUM('[2]2011'!$Q$268:$T$268)+SUM('[2]2011'!$Q$271:$T$271)+SUM('[2]2011'!$Q$274:$T$274))/(SUM('[2]2011'!$D$247:$F$247)+SUM('[2]2011'!$D$262:$F$262)+SUM('[2]2011'!$D$265:$F$265)+SUM('[2]2011'!$D$268:$F$268)+SUM('[2]2011'!$D$271:$F$271)+SUM('[2]2011'!$D$274:$F$274))*100</f>
        <v>44.631233372955222</v>
      </c>
      <c r="F18" s="151">
        <f>(SUM('[2]2012'!$Q$247:$T$247)+SUM('[2]2012'!$Q$262:$T$262)+SUM('[2]2012'!$Q$265:$T$265)+SUM('[2]2012'!$Q$268:$T$268)+SUM('[2]2012'!$Q$271:$T$271)+SUM('[2]2012'!$Q$274:$T$274))/(SUM('[2]2012'!$D$247:$F$247)+SUM('[2]2012'!$D$262:$F$262)+SUM('[2]2012'!$D$265:$F$265)+SUM('[2]2012'!$D$268:$F$268)+SUM('[2]2012'!$D$271:$F$271)+SUM('[2]2012'!$D$274:$F$274))*100</f>
        <v>46.488465140035757</v>
      </c>
      <c r="G18" s="151">
        <f>(SUM('[2]2013'!$Q$247:$T$247)+SUM('[2]2013'!$Q$262:$T$262)+SUM('[2]2013'!$Q$265:$T$265)+SUM('[2]2013'!$Q$268:$T$268)+SUM('[2]2013'!$Q$271:$T$271)+SUM('[2]2013'!$Q$274:$T$274))/(SUM('[2]2013'!$D$247:$F$247)+SUM('[2]2013'!$D$262:$F$262)+SUM('[2]2013'!$D$265:$F$265)+SUM('[2]2013'!$D$268:$F$268)+SUM('[2]2013'!$D$271:$F$271)+SUM('[2]2013'!$D$274:$F$274))*100</f>
        <v>48.355992946128907</v>
      </c>
      <c r="H18" s="151">
        <f>(SUM('[2]2014'!$Q$247:$T$247)+SUM('[2]2014'!$Q$262:$T$262)+SUM('[2]2014'!$Q$265:$T$265)+SUM('[2]2014'!$Q$268:$T$268)+SUM('[2]2014'!$Q$271:$T$271)+SUM('[2]2014'!$Q$274:$T$274))/(SUM('[2]2014'!$D$247:$F$247)+SUM('[2]2014'!$D$262:$F$262)+SUM('[2]2014'!$D$265:$F$265)+SUM('[2]2014'!$D$268:$F$268)+SUM('[2]2014'!$D$271:$F$271)+SUM('[2]2014'!$D$274:$F$274))*100</f>
        <v>50.249508112578056</v>
      </c>
      <c r="I18" s="1160"/>
      <c r="K18" s="129"/>
    </row>
    <row r="19" spans="1:11">
      <c r="A19" s="102" t="s">
        <v>588</v>
      </c>
      <c r="B19" s="151">
        <f>+SUM('[2]2008'!$Q$244:$T$244)/SUM('[2]2008'!$D$244:$F$244)*100</f>
        <v>38.279320104045681</v>
      </c>
      <c r="C19" s="151">
        <f>+SUM('[2]2009'!$Q$244:$T$244)/SUM('[2]2009'!$D$244:$F$244)*100</f>
        <v>40.153402061855672</v>
      </c>
      <c r="D19" s="151">
        <f>+SUM('[2]2010'!$Q$244:$T$244)/SUM('[2]2010'!$D$244:$F$244)*100</f>
        <v>42.073667581275465</v>
      </c>
      <c r="E19" s="151">
        <f>+SUM('[2]2011'!$Q$244:$T$244)/SUM('[2]2011'!$D$244:$F$244)*100</f>
        <v>44.064943074794556</v>
      </c>
      <c r="F19" s="151">
        <f>+SUM('[2]2012'!$Q$244:$T$244)/SUM('[2]2012'!$D$244:$F$244)*100</f>
        <v>46.06784759358289</v>
      </c>
      <c r="G19" s="151">
        <f>+SUM('[2]2013'!$Q$244:$T$244)/SUM('[2]2013'!$D$244:$F$244)*100</f>
        <v>48.08549127332418</v>
      </c>
      <c r="H19" s="151">
        <f>+SUM('[2]2014'!$Q$244:$T$244)/SUM('[2]2014'!$D$244:$F$244)*100</f>
        <v>50.115027455458346</v>
      </c>
      <c r="I19" s="1160"/>
      <c r="K19" s="129"/>
    </row>
    <row r="20" spans="1:11">
      <c r="A20" s="152"/>
      <c r="B20" s="153"/>
      <c r="C20" s="153"/>
      <c r="D20" s="153"/>
      <c r="E20" s="153"/>
      <c r="F20" s="153"/>
      <c r="G20" s="153"/>
      <c r="H20" s="153"/>
      <c r="I20" s="1150"/>
      <c r="K20" s="129"/>
    </row>
    <row r="21" spans="1:11">
      <c r="A21" s="154"/>
      <c r="B21" s="154"/>
      <c r="K21" s="129"/>
    </row>
    <row r="22" spans="1:11">
      <c r="A22" s="154"/>
      <c r="B22" s="154"/>
      <c r="K22" s="129"/>
    </row>
    <row r="23" spans="1:11">
      <c r="A23" s="154"/>
      <c r="B23" s="154"/>
      <c r="K23" s="129"/>
    </row>
    <row r="24" spans="1:11">
      <c r="A24" s="154"/>
      <c r="B24" s="154"/>
      <c r="K24" s="129"/>
    </row>
    <row r="25" spans="1:11">
      <c r="A25" s="154"/>
      <c r="B25" s="154"/>
      <c r="K25" s="129"/>
    </row>
    <row r="26" spans="1:11">
      <c r="A26" s="154"/>
      <c r="B26" s="154"/>
      <c r="K26" s="129"/>
    </row>
    <row r="27" spans="1:11">
      <c r="A27" s="154"/>
      <c r="B27" s="154"/>
      <c r="K27" s="129"/>
    </row>
    <row r="28" spans="1:11">
      <c r="A28" s="154"/>
      <c r="B28" s="154"/>
      <c r="K28" s="129"/>
    </row>
    <row r="29" spans="1:11">
      <c r="A29" s="154"/>
      <c r="B29" s="154"/>
      <c r="K29" s="129"/>
    </row>
    <row r="30" spans="1:11">
      <c r="A30" s="154"/>
      <c r="B30" s="154"/>
      <c r="K30" s="129"/>
    </row>
    <row r="31" spans="1:11">
      <c r="A31" s="154"/>
      <c r="B31" s="154"/>
      <c r="K31" s="129"/>
    </row>
    <row r="32" spans="1:11">
      <c r="A32" s="154"/>
      <c r="B32" s="154"/>
      <c r="K32" s="129"/>
    </row>
    <row r="33" spans="1:11">
      <c r="A33" s="154"/>
      <c r="B33" s="154"/>
      <c r="K33" s="129"/>
    </row>
    <row r="34" spans="1:11">
      <c r="A34" s="154"/>
      <c r="B34" s="154"/>
      <c r="K34" s="129"/>
    </row>
    <row r="35" spans="1:11">
      <c r="A35" s="154"/>
      <c r="B35" s="154"/>
      <c r="K35" s="129"/>
    </row>
    <row r="53" spans="6:9" ht="15.75" customHeight="1">
      <c r="F53" s="155"/>
      <c r="G53" s="155"/>
      <c r="H53" s="155"/>
      <c r="I53" s="155"/>
    </row>
  </sheetData>
  <phoneticPr fontId="19" type="noConversion"/>
  <pageMargins left="1.1811023622047245" right="0.78740157480314965" top="0.78740157480314965" bottom="0.98425196850393704" header="0.51181102362204722" footer="0.51181102362204722"/>
  <pageSetup paperSize="5" scale="95" orientation="portrait" horizontalDpi="300" verticalDpi="300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4"/>
  <sheetViews>
    <sheetView topLeftCell="A27" workbookViewId="0">
      <selection activeCell="I13" sqref="I13"/>
    </sheetView>
  </sheetViews>
  <sheetFormatPr baseColWidth="10" defaultRowHeight="12.75"/>
  <cols>
    <col min="1" max="1" width="18.85546875" customWidth="1"/>
    <col min="4" max="4" width="13.42578125" customWidth="1"/>
    <col min="6" max="7" width="12.5703125" customWidth="1"/>
    <col min="8" max="9" width="6.7109375" customWidth="1"/>
  </cols>
  <sheetData>
    <row r="1" spans="1:9">
      <c r="A1" s="83" t="s">
        <v>676</v>
      </c>
      <c r="B1" s="83"/>
      <c r="C1" s="84"/>
      <c r="D1" s="1"/>
      <c r="E1" s="1"/>
      <c r="F1" s="1"/>
      <c r="G1" s="1"/>
    </row>
    <row r="2" spans="1:9">
      <c r="A2" s="83"/>
      <c r="B2" s="83"/>
      <c r="C2" s="84"/>
      <c r="D2" s="1"/>
      <c r="E2" s="1"/>
      <c r="F2" s="1"/>
      <c r="G2" s="1"/>
    </row>
    <row r="3" spans="1:9">
      <c r="A3" s="83" t="str">
        <f>+'6'!A3</f>
        <v>SERVICIO DE SALUD   ACONCAGUA  2014</v>
      </c>
      <c r="B3" s="83"/>
      <c r="C3" s="84"/>
      <c r="D3" s="1"/>
      <c r="E3" s="1"/>
      <c r="F3" s="1"/>
      <c r="G3" s="1"/>
    </row>
    <row r="4" spans="1:9">
      <c r="A4" s="1"/>
      <c r="B4" s="1"/>
      <c r="C4" s="1"/>
      <c r="D4" s="1"/>
      <c r="E4" s="1"/>
      <c r="F4" s="1"/>
      <c r="G4" s="1"/>
    </row>
    <row r="5" spans="1:9">
      <c r="A5" s="1"/>
      <c r="B5" s="1"/>
      <c r="C5" s="1"/>
      <c r="D5" s="1"/>
      <c r="E5" s="1"/>
      <c r="F5" s="1"/>
      <c r="G5" s="1"/>
    </row>
    <row r="6" spans="1:9">
      <c r="A6" s="1"/>
      <c r="B6" s="1084"/>
      <c r="C6" s="1"/>
      <c r="D6" s="1"/>
      <c r="E6" s="1"/>
      <c r="F6" s="1"/>
      <c r="G6" s="1"/>
    </row>
    <row r="8" spans="1:9" ht="42" customHeight="1">
      <c r="A8" s="12" t="s">
        <v>568</v>
      </c>
      <c r="B8" s="92" t="s">
        <v>741</v>
      </c>
      <c r="C8" s="93" t="s">
        <v>677</v>
      </c>
      <c r="D8" s="92" t="s">
        <v>678</v>
      </c>
      <c r="E8" s="93" t="s">
        <v>679</v>
      </c>
      <c r="F8" s="230" t="s">
        <v>680</v>
      </c>
      <c r="G8" s="674"/>
    </row>
    <row r="9" spans="1:9" ht="17.25" customHeight="1">
      <c r="A9" s="95" t="s">
        <v>575</v>
      </c>
      <c r="B9" s="96">
        <f>+[3]Consolidado!$B14</f>
        <v>1024</v>
      </c>
      <c r="C9" s="97">
        <f>+'9'!B9</f>
        <v>38245.311900000001</v>
      </c>
      <c r="D9" s="110">
        <f t="shared" ref="D9:D21" si="0">+E9/C9*100</f>
        <v>50.135511118684327</v>
      </c>
      <c r="E9" s="97">
        <f>+SUM('9'!F9:H9)</f>
        <v>19174.482599999999</v>
      </c>
      <c r="F9" s="231">
        <f t="shared" ref="F9:F21" si="1">+B9/E9*1000</f>
        <v>53.404309329316661</v>
      </c>
      <c r="G9" s="1161"/>
      <c r="H9">
        <v>2006</v>
      </c>
      <c r="I9" s="157">
        <v>50</v>
      </c>
    </row>
    <row r="10" spans="1:9" ht="17.25" customHeight="1">
      <c r="A10" s="95" t="s">
        <v>576</v>
      </c>
      <c r="B10" s="96">
        <f>+[3]Consolidado!$B15</f>
        <v>254</v>
      </c>
      <c r="C10" s="97">
        <f>+'9'!B17</f>
        <v>9061.8069999999989</v>
      </c>
      <c r="D10" s="110">
        <f t="shared" si="0"/>
        <v>50.865108912604299</v>
      </c>
      <c r="E10" s="97">
        <f>+SUM('9'!F17:H17)</f>
        <v>4609.2979999999998</v>
      </c>
      <c r="F10" s="231">
        <f t="shared" si="1"/>
        <v>55.10600529625119</v>
      </c>
      <c r="G10" s="1161"/>
      <c r="H10">
        <v>2007</v>
      </c>
      <c r="I10" s="157">
        <v>52</v>
      </c>
    </row>
    <row r="11" spans="1:9" ht="17.25" customHeight="1">
      <c r="A11" s="95" t="s">
        <v>577</v>
      </c>
      <c r="B11" s="96">
        <f>+[3]Consolidado!$B16</f>
        <v>151</v>
      </c>
      <c r="C11" s="97">
        <f>+'9'!B25</f>
        <v>5307</v>
      </c>
      <c r="D11" s="110">
        <f t="shared" si="0"/>
        <v>50.292067081213489</v>
      </c>
      <c r="E11" s="97">
        <f>+SUM('9'!F25:H25)</f>
        <v>2669</v>
      </c>
      <c r="F11" s="231">
        <f t="shared" si="1"/>
        <v>56.575496440614465</v>
      </c>
      <c r="G11" s="1161"/>
      <c r="H11">
        <v>2008</v>
      </c>
      <c r="I11" s="157">
        <v>52.6</v>
      </c>
    </row>
    <row r="12" spans="1:9" ht="17.25" customHeight="1">
      <c r="A12" s="95" t="s">
        <v>578</v>
      </c>
      <c r="B12" s="96">
        <f>+[3]Consolidado!$B17</f>
        <v>132</v>
      </c>
      <c r="C12" s="97">
        <f>+'9'!B29</f>
        <v>4061.4168000000004</v>
      </c>
      <c r="D12" s="110">
        <f t="shared" si="0"/>
        <v>51.124912862920134</v>
      </c>
      <c r="E12" s="97">
        <f>+SUM('9'!F29:H29)</f>
        <v>2076.3957999999998</v>
      </c>
      <c r="F12" s="231">
        <f t="shared" si="1"/>
        <v>63.571694760700254</v>
      </c>
      <c r="G12" s="1161"/>
      <c r="H12">
        <v>2009</v>
      </c>
      <c r="I12" s="157">
        <v>51.2</v>
      </c>
    </row>
    <row r="13" spans="1:9" ht="22.5" customHeight="1">
      <c r="A13" s="102" t="s">
        <v>579</v>
      </c>
      <c r="B13" s="103">
        <f>SUM(B9:B12)</f>
        <v>1561</v>
      </c>
      <c r="C13" s="104">
        <f>SUM(C9:C12)</f>
        <v>56675.5357</v>
      </c>
      <c r="D13" s="156">
        <f t="shared" si="0"/>
        <v>50.33772693568028</v>
      </c>
      <c r="E13" s="104">
        <f>SUM(E9:E12)</f>
        <v>28529.176399999997</v>
      </c>
      <c r="F13" s="232">
        <f t="shared" si="1"/>
        <v>54.715915318186333</v>
      </c>
      <c r="G13" s="1162"/>
      <c r="H13">
        <v>2010</v>
      </c>
      <c r="I13" s="157">
        <v>50.639326189893289</v>
      </c>
    </row>
    <row r="14" spans="1:9" ht="17.25" customHeight="1">
      <c r="A14" s="95" t="s">
        <v>580</v>
      </c>
      <c r="B14" s="96">
        <f>+[3]Consolidado!$B19</f>
        <v>1101</v>
      </c>
      <c r="C14" s="97">
        <f>+'9'!B37</f>
        <v>41784</v>
      </c>
      <c r="D14" s="110">
        <f t="shared" si="0"/>
        <v>49.222190312081182</v>
      </c>
      <c r="E14" s="97">
        <f>+SUM('9'!F37:H37)</f>
        <v>20567</v>
      </c>
      <c r="F14" s="231">
        <f t="shared" si="1"/>
        <v>53.532357660329652</v>
      </c>
      <c r="G14" s="1161"/>
      <c r="H14">
        <v>2011</v>
      </c>
      <c r="I14" s="157">
        <v>54.4</v>
      </c>
    </row>
    <row r="15" spans="1:9" ht="17.25" customHeight="1">
      <c r="A15" s="95" t="s">
        <v>581</v>
      </c>
      <c r="B15" s="96">
        <f>+[3]Consolidado!$B20</f>
        <v>194</v>
      </c>
      <c r="C15" s="97">
        <f>+'9'!B43</f>
        <v>8868.84</v>
      </c>
      <c r="D15" s="110">
        <f t="shared" si="0"/>
        <v>48.902201415292204</v>
      </c>
      <c r="E15" s="97">
        <f>+SUM('9'!F43:H43)</f>
        <v>4337.0580000000009</v>
      </c>
      <c r="F15" s="231">
        <f t="shared" si="1"/>
        <v>44.730782940878342</v>
      </c>
      <c r="G15" s="1161"/>
      <c r="H15">
        <v>2012</v>
      </c>
      <c r="I15" s="157">
        <v>53.3</v>
      </c>
    </row>
    <row r="16" spans="1:9" ht="17.25" customHeight="1">
      <c r="A16" s="95" t="s">
        <v>582</v>
      </c>
      <c r="B16" s="96">
        <f>+[3]Consolidado!$B21</f>
        <v>193</v>
      </c>
      <c r="C16" s="97">
        <f>+'9'!B56</f>
        <v>7524.8959999999997</v>
      </c>
      <c r="D16" s="110">
        <f t="shared" si="0"/>
        <v>48.886403214077653</v>
      </c>
      <c r="E16" s="97">
        <f>+SUM('9'!F56:H56)</f>
        <v>3678.6510000000003</v>
      </c>
      <c r="F16" s="231">
        <f t="shared" si="1"/>
        <v>52.464884545992533</v>
      </c>
      <c r="G16" s="1161"/>
      <c r="H16">
        <v>2013</v>
      </c>
      <c r="I16" s="157">
        <v>51.7</v>
      </c>
    </row>
    <row r="17" spans="1:9" ht="17.25" customHeight="1">
      <c r="A17" s="95" t="s">
        <v>583</v>
      </c>
      <c r="B17" s="96">
        <f>+[3]Consolidado!$B22</f>
        <v>115</v>
      </c>
      <c r="C17" s="97">
        <f>+'9'!B61</f>
        <v>3931.1909999999998</v>
      </c>
      <c r="D17" s="110">
        <f t="shared" si="0"/>
        <v>50.513063343907739</v>
      </c>
      <c r="E17" s="97">
        <f>+SUM('9'!F61:H61)</f>
        <v>1985.7650000000001</v>
      </c>
      <c r="F17" s="231">
        <f t="shared" si="1"/>
        <v>57.912190012413348</v>
      </c>
      <c r="G17" s="1161"/>
      <c r="H17">
        <v>2014</v>
      </c>
      <c r="I17" s="157">
        <f>+F21</f>
        <v>54.830921592154674</v>
      </c>
    </row>
    <row r="18" spans="1:9" ht="17.25" customHeight="1">
      <c r="A18" s="95" t="s">
        <v>584</v>
      </c>
      <c r="B18" s="96">
        <f>+[3]Consolidado!$B23</f>
        <v>392</v>
      </c>
      <c r="C18" s="97">
        <f>+'9'!B67</f>
        <v>12052.3454</v>
      </c>
      <c r="D18" s="110">
        <f t="shared" si="0"/>
        <v>50.311809849060587</v>
      </c>
      <c r="E18" s="97">
        <f>+SUM('9'!F67:H67)</f>
        <v>6063.7530999999999</v>
      </c>
      <c r="F18" s="231">
        <f t="shared" si="1"/>
        <v>64.646431596959317</v>
      </c>
      <c r="G18" s="1161"/>
    </row>
    <row r="19" spans="1:9" ht="17.25" customHeight="1">
      <c r="A19" s="95" t="s">
        <v>585</v>
      </c>
      <c r="B19" s="96">
        <f>+[3]Consolidado!$B24</f>
        <v>197</v>
      </c>
      <c r="C19" s="97">
        <f>+'9'!B73</f>
        <v>6573.5101999999979</v>
      </c>
      <c r="D19" s="110">
        <f t="shared" si="0"/>
        <v>49.979020341369527</v>
      </c>
      <c r="E19" s="97">
        <f>+SUM('9'!F73:H73)</f>
        <v>3285.3759999999993</v>
      </c>
      <c r="F19" s="231">
        <f t="shared" si="1"/>
        <v>59.962695289671572</v>
      </c>
      <c r="G19" s="1161"/>
      <c r="H19" s="229" t="s">
        <v>666</v>
      </c>
      <c r="I19" s="157">
        <f>+F9</f>
        <v>53.404309329316661</v>
      </c>
    </row>
    <row r="20" spans="1:9" ht="21" customHeight="1">
      <c r="A20" s="102" t="s">
        <v>587</v>
      </c>
      <c r="B20" s="103">
        <f>SUM(B14:B19)</f>
        <v>2192</v>
      </c>
      <c r="C20" s="104">
        <f>SUM(C14:C19)</f>
        <v>80734.782600000006</v>
      </c>
      <c r="D20" s="156">
        <f t="shared" si="0"/>
        <v>49.442881759862445</v>
      </c>
      <c r="E20" s="104">
        <f>SUM(E14:E19)</f>
        <v>39917.6031</v>
      </c>
      <c r="F20" s="232">
        <f t="shared" si="1"/>
        <v>54.913116764768873</v>
      </c>
      <c r="G20" s="1162"/>
      <c r="H20" s="229" t="s">
        <v>667</v>
      </c>
      <c r="I20" s="157">
        <f>+F10</f>
        <v>55.10600529625119</v>
      </c>
    </row>
    <row r="21" spans="1:9" ht="16.5" customHeight="1">
      <c r="A21" s="111" t="s">
        <v>588</v>
      </c>
      <c r="B21" s="112">
        <f>+B13+B20</f>
        <v>3753</v>
      </c>
      <c r="C21" s="113">
        <f>+C13+C20</f>
        <v>137410.31830000001</v>
      </c>
      <c r="D21" s="158">
        <f t="shared" si="0"/>
        <v>49.811964885027123</v>
      </c>
      <c r="E21" s="113">
        <f>+E13+E20</f>
        <v>68446.779500000004</v>
      </c>
      <c r="F21" s="233">
        <f t="shared" si="1"/>
        <v>54.830921592154674</v>
      </c>
      <c r="G21" s="1162"/>
      <c r="H21" s="229" t="s">
        <v>668</v>
      </c>
      <c r="I21" s="157">
        <f>+F11</f>
        <v>56.575496440614465</v>
      </c>
    </row>
    <row r="22" spans="1:9">
      <c r="A22" s="8"/>
      <c r="B22" s="8"/>
      <c r="C22" s="8"/>
      <c r="D22" s="8"/>
      <c r="E22" s="8"/>
      <c r="F22" s="8"/>
      <c r="G22" s="8"/>
      <c r="H22" s="229" t="s">
        <v>669</v>
      </c>
      <c r="I22" s="157">
        <f>+F12</f>
        <v>63.571694760700254</v>
      </c>
    </row>
    <row r="23" spans="1:9">
      <c r="A23" s="8"/>
      <c r="B23" s="8"/>
      <c r="C23" s="8"/>
      <c r="D23" s="8"/>
      <c r="E23" s="8"/>
      <c r="F23" s="8"/>
      <c r="G23" s="8"/>
      <c r="H23" s="229" t="s">
        <v>670</v>
      </c>
      <c r="I23" s="157">
        <f t="shared" ref="I23:I28" si="2">+F14</f>
        <v>53.532357660329652</v>
      </c>
    </row>
    <row r="24" spans="1:9">
      <c r="A24" s="8"/>
      <c r="B24" s="8"/>
      <c r="C24" s="8"/>
      <c r="D24" s="8"/>
      <c r="E24" s="8"/>
      <c r="F24" s="8"/>
      <c r="G24" s="8"/>
      <c r="H24" s="229" t="s">
        <v>671</v>
      </c>
      <c r="I24" s="157">
        <f t="shared" si="2"/>
        <v>44.730782940878342</v>
      </c>
    </row>
    <row r="25" spans="1:9">
      <c r="A25" s="8"/>
      <c r="B25" s="8"/>
      <c r="C25" s="8"/>
      <c r="D25" s="8"/>
      <c r="E25" s="8"/>
      <c r="F25" s="8"/>
      <c r="G25" s="8"/>
      <c r="H25" s="229" t="s">
        <v>672</v>
      </c>
      <c r="I25" s="157">
        <f t="shared" si="2"/>
        <v>52.464884545992533</v>
      </c>
    </row>
    <row r="26" spans="1:9">
      <c r="A26" s="8"/>
      <c r="B26" s="8"/>
      <c r="C26" s="8"/>
      <c r="D26" s="8"/>
      <c r="E26" s="8"/>
      <c r="F26" s="8"/>
      <c r="G26" s="8"/>
      <c r="H26" s="229" t="s">
        <v>673</v>
      </c>
      <c r="I26" s="157">
        <f t="shared" si="2"/>
        <v>57.912190012413348</v>
      </c>
    </row>
    <row r="27" spans="1:9">
      <c r="A27" s="8"/>
      <c r="B27" s="8"/>
      <c r="C27" s="8"/>
      <c r="D27" s="8"/>
      <c r="E27" s="8"/>
      <c r="F27" s="8"/>
      <c r="G27" s="8"/>
      <c r="H27" s="229" t="s">
        <v>674</v>
      </c>
      <c r="I27" s="157">
        <f t="shared" si="2"/>
        <v>64.646431596959317</v>
      </c>
    </row>
    <row r="28" spans="1:9">
      <c r="A28" s="8"/>
      <c r="B28" s="8"/>
      <c r="C28" s="8"/>
      <c r="D28" s="8"/>
      <c r="E28" s="8"/>
      <c r="F28" s="8"/>
      <c r="G28" s="8"/>
      <c r="H28" s="229" t="s">
        <v>675</v>
      </c>
      <c r="I28" s="157">
        <f t="shared" si="2"/>
        <v>59.962695289671572</v>
      </c>
    </row>
    <row r="29" spans="1:9">
      <c r="A29" s="8"/>
      <c r="B29" s="8"/>
      <c r="C29" s="8"/>
      <c r="D29" s="8"/>
      <c r="E29" s="8"/>
      <c r="F29" s="8"/>
      <c r="G29" s="8"/>
    </row>
    <row r="30" spans="1:9">
      <c r="A30" s="8"/>
      <c r="B30" s="8"/>
      <c r="C30" s="8"/>
      <c r="D30" s="8"/>
      <c r="E30" s="8"/>
      <c r="F30" s="8"/>
      <c r="G30" s="8"/>
    </row>
    <row r="31" spans="1:9">
      <c r="A31" s="8"/>
      <c r="B31" s="8"/>
      <c r="C31" s="8"/>
      <c r="D31" s="8"/>
      <c r="E31" s="8"/>
      <c r="F31" s="8"/>
      <c r="G31" s="8"/>
    </row>
    <row r="32" spans="1:9">
      <c r="A32" s="8"/>
      <c r="B32" s="8"/>
      <c r="C32" s="8"/>
      <c r="D32" s="8"/>
      <c r="E32" s="8"/>
      <c r="F32" s="8"/>
      <c r="G32" s="8"/>
    </row>
    <row r="33" spans="1:7">
      <c r="A33" s="8"/>
      <c r="B33" s="8"/>
      <c r="C33" s="8"/>
      <c r="D33" s="8"/>
      <c r="E33" s="8"/>
      <c r="F33" s="8"/>
      <c r="G33" s="8"/>
    </row>
    <row r="34" spans="1:7">
      <c r="A34" s="8"/>
      <c r="B34" s="8"/>
      <c r="C34" s="8"/>
      <c r="D34" s="8"/>
      <c r="E34" s="8"/>
      <c r="F34" s="8"/>
      <c r="G34" s="8"/>
    </row>
  </sheetData>
  <phoneticPr fontId="19" type="noConversion"/>
  <pageMargins left="1.3779527559055118" right="0.78740157480314965" top="0.59055118110236227" bottom="0.98425196850393704" header="0.51181102362204722" footer="0.51181102362204722"/>
  <pageSetup paperSize="5" orientation="portrait" horizontalDpi="300" verticalDpi="300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3"/>
  <sheetViews>
    <sheetView showGridLines="0" topLeftCell="A13" zoomScale="75" workbookViewId="0">
      <selection activeCell="C23" sqref="C23:K23"/>
    </sheetView>
  </sheetViews>
  <sheetFormatPr baseColWidth="10" defaultRowHeight="12.75"/>
  <cols>
    <col min="2" max="2" width="25.28515625" customWidth="1"/>
    <col min="3" max="3" width="12.42578125" customWidth="1"/>
    <col min="4" max="5" width="13.140625" customWidth="1"/>
    <col min="6" max="6" width="12.85546875" customWidth="1"/>
    <col min="7" max="7" width="13.28515625" customWidth="1"/>
    <col min="8" max="8" width="15" customWidth="1"/>
    <col min="9" max="10" width="13.42578125" customWidth="1"/>
    <col min="11" max="11" width="15.5703125" customWidth="1"/>
    <col min="12" max="12" width="13.7109375" customWidth="1"/>
  </cols>
  <sheetData>
    <row r="1" spans="1:12" ht="15.75">
      <c r="A1" s="1209" t="s">
        <v>515</v>
      </c>
      <c r="B1" s="1209"/>
      <c r="C1" s="1209"/>
      <c r="D1" s="1209"/>
      <c r="E1" s="1209"/>
      <c r="F1" s="1209"/>
      <c r="G1" s="1209"/>
      <c r="H1" s="1209"/>
      <c r="I1" s="1209"/>
      <c r="J1" s="1209"/>
      <c r="K1" s="1209"/>
      <c r="L1" s="1209"/>
    </row>
    <row r="2" spans="1:12" ht="15.75">
      <c r="B2" s="4"/>
      <c r="C2" s="4"/>
      <c r="D2" s="4"/>
      <c r="E2" s="4"/>
      <c r="F2" s="4"/>
      <c r="G2" s="4"/>
      <c r="H2" s="4"/>
      <c r="I2" s="3"/>
      <c r="J2" s="3"/>
      <c r="K2" s="3"/>
      <c r="L2" s="3"/>
    </row>
    <row r="3" spans="1:12" ht="15.75">
      <c r="A3" s="1209">
        <v>2014</v>
      </c>
      <c r="B3" s="1209"/>
      <c r="C3" s="1209"/>
      <c r="D3" s="1209"/>
      <c r="E3" s="1209"/>
      <c r="F3" s="1209"/>
      <c r="G3" s="1209"/>
      <c r="H3" s="1209"/>
      <c r="I3" s="1209"/>
      <c r="J3" s="1209"/>
      <c r="K3" s="1209"/>
      <c r="L3" s="1209"/>
    </row>
    <row r="4" spans="1:12" ht="15.75">
      <c r="B4" s="4"/>
      <c r="C4" s="4"/>
      <c r="D4" s="4"/>
      <c r="E4" s="4"/>
      <c r="F4" s="4"/>
      <c r="G4" s="4"/>
      <c r="H4" s="4"/>
      <c r="I4" s="3"/>
      <c r="J4" s="3"/>
      <c r="K4" s="3"/>
      <c r="L4" s="3"/>
    </row>
    <row r="7" spans="1:12" ht="37.5" customHeight="1">
      <c r="A7" s="49" t="s">
        <v>495</v>
      </c>
      <c r="B7" s="49" t="s">
        <v>496</v>
      </c>
      <c r="C7" s="50" t="s">
        <v>444</v>
      </c>
      <c r="D7" s="49" t="s">
        <v>501</v>
      </c>
      <c r="E7" s="48" t="s">
        <v>502</v>
      </c>
      <c r="F7" s="49" t="s">
        <v>503</v>
      </c>
      <c r="G7" s="48" t="s">
        <v>504</v>
      </c>
      <c r="H7" s="49" t="s">
        <v>505</v>
      </c>
      <c r="I7" s="49" t="s">
        <v>330</v>
      </c>
      <c r="J7" s="49" t="s">
        <v>506</v>
      </c>
      <c r="K7" s="49" t="s">
        <v>329</v>
      </c>
      <c r="L7" s="49" t="s">
        <v>507</v>
      </c>
    </row>
    <row r="8" spans="1:12" s="6" customFormat="1" ht="23.25" customHeight="1">
      <c r="A8" s="44"/>
      <c r="B8" s="52" t="s">
        <v>509</v>
      </c>
      <c r="C8" s="45">
        <v>7</v>
      </c>
      <c r="D8" s="46">
        <v>2</v>
      </c>
      <c r="E8" s="47">
        <v>3</v>
      </c>
      <c r="F8" s="46">
        <v>1</v>
      </c>
      <c r="G8" s="47"/>
      <c r="H8" s="46">
        <v>1</v>
      </c>
      <c r="I8" s="47"/>
      <c r="J8" s="46"/>
      <c r="K8" s="46"/>
      <c r="L8" s="69">
        <f>SUM(C8:K8)</f>
        <v>14</v>
      </c>
    </row>
    <row r="9" spans="1:12" s="6" customFormat="1" ht="23.25" customHeight="1">
      <c r="A9" s="46" t="s">
        <v>497</v>
      </c>
      <c r="B9" s="52" t="s">
        <v>510</v>
      </c>
      <c r="C9" s="45">
        <v>62</v>
      </c>
      <c r="D9" s="46">
        <v>172</v>
      </c>
      <c r="E9" s="47">
        <v>119</v>
      </c>
      <c r="F9" s="46">
        <v>23</v>
      </c>
      <c r="G9" s="47">
        <v>9</v>
      </c>
      <c r="H9" s="46">
        <v>84</v>
      </c>
      <c r="I9" s="47">
        <v>27</v>
      </c>
      <c r="J9" s="46">
        <v>19</v>
      </c>
      <c r="K9" s="46">
        <v>19</v>
      </c>
      <c r="L9" s="69">
        <f>SUM(C9:K9)</f>
        <v>534</v>
      </c>
    </row>
    <row r="10" spans="1:12" s="6" customFormat="1" ht="23.25" customHeight="1">
      <c r="A10" s="46">
        <v>18.834</v>
      </c>
      <c r="B10" s="52" t="s">
        <v>511</v>
      </c>
      <c r="C10" s="45">
        <v>10</v>
      </c>
      <c r="D10" s="46">
        <v>270</v>
      </c>
      <c r="E10" s="47">
        <v>238</v>
      </c>
      <c r="F10" s="46">
        <v>54</v>
      </c>
      <c r="G10" s="47">
        <v>26</v>
      </c>
      <c r="H10" s="46">
        <v>129</v>
      </c>
      <c r="I10" s="240">
        <v>34</v>
      </c>
      <c r="J10" s="241">
        <v>27</v>
      </c>
      <c r="K10" s="241">
        <v>20</v>
      </c>
      <c r="L10" s="69">
        <f>SUM(C10:K10)</f>
        <v>808</v>
      </c>
    </row>
    <row r="11" spans="1:12" s="6" customFormat="1" ht="23.25" customHeight="1">
      <c r="A11" s="46"/>
      <c r="B11" s="52" t="s">
        <v>447</v>
      </c>
      <c r="C11" s="45">
        <v>33</v>
      </c>
      <c r="D11" s="46">
        <v>74</v>
      </c>
      <c r="E11" s="47">
        <v>59</v>
      </c>
      <c r="F11" s="46">
        <v>11</v>
      </c>
      <c r="G11" s="47">
        <v>5</v>
      </c>
      <c r="H11" s="46">
        <v>34</v>
      </c>
      <c r="I11" s="240">
        <v>28</v>
      </c>
      <c r="J11" s="241">
        <v>14</v>
      </c>
      <c r="K11" s="241">
        <v>10</v>
      </c>
      <c r="L11" s="69">
        <f>SUM(C11:K11)</f>
        <v>268</v>
      </c>
    </row>
    <row r="12" spans="1:12" s="6" customFormat="1" ht="23.25" customHeight="1">
      <c r="A12" s="46"/>
      <c r="B12" s="52" t="s">
        <v>448</v>
      </c>
      <c r="C12" s="45">
        <v>9</v>
      </c>
      <c r="D12" s="46">
        <v>74</v>
      </c>
      <c r="E12" s="47">
        <v>66</v>
      </c>
      <c r="F12" s="46">
        <v>21</v>
      </c>
      <c r="G12" s="47">
        <v>14</v>
      </c>
      <c r="H12" s="46">
        <v>123</v>
      </c>
      <c r="I12" s="47">
        <v>2</v>
      </c>
      <c r="J12" s="46">
        <v>2</v>
      </c>
      <c r="K12" s="46">
        <v>1</v>
      </c>
      <c r="L12" s="69">
        <f>SUM(C12:K12)</f>
        <v>312</v>
      </c>
    </row>
    <row r="13" spans="1:12" s="6" customFormat="1" ht="23.25" customHeight="1">
      <c r="A13" s="56"/>
      <c r="B13" s="55" t="s">
        <v>498</v>
      </c>
      <c r="C13" s="54">
        <f t="shared" ref="C13:K13" si="0">SUM(C8:C12)</f>
        <v>121</v>
      </c>
      <c r="D13" s="54">
        <f t="shared" si="0"/>
        <v>592</v>
      </c>
      <c r="E13" s="54">
        <f t="shared" si="0"/>
        <v>485</v>
      </c>
      <c r="F13" s="54">
        <f t="shared" si="0"/>
        <v>110</v>
      </c>
      <c r="G13" s="54">
        <f t="shared" si="0"/>
        <v>54</v>
      </c>
      <c r="H13" s="54">
        <f t="shared" si="0"/>
        <v>371</v>
      </c>
      <c r="I13" s="54">
        <f t="shared" si="0"/>
        <v>91</v>
      </c>
      <c r="J13" s="54">
        <f t="shared" si="0"/>
        <v>62</v>
      </c>
      <c r="K13" s="54">
        <f t="shared" si="0"/>
        <v>50</v>
      </c>
      <c r="L13" s="70">
        <f>SUM(L8:L12)</f>
        <v>1936</v>
      </c>
    </row>
    <row r="14" spans="1:12" s="6" customFormat="1" ht="23.25" customHeight="1">
      <c r="A14" s="59" t="s">
        <v>499</v>
      </c>
      <c r="B14" s="58" t="s">
        <v>449</v>
      </c>
      <c r="C14" s="57"/>
      <c r="D14" s="59">
        <v>35</v>
      </c>
      <c r="E14" s="60">
        <v>37</v>
      </c>
      <c r="F14" s="59"/>
      <c r="G14" s="60"/>
      <c r="H14" s="59">
        <v>6</v>
      </c>
      <c r="I14" s="60"/>
      <c r="J14" s="59"/>
      <c r="K14" s="59"/>
      <c r="L14" s="71">
        <f>SUM(C14:K14)</f>
        <v>78</v>
      </c>
    </row>
    <row r="15" spans="1:12" s="6" customFormat="1" ht="23.25" customHeight="1">
      <c r="A15" s="46">
        <v>15.076000000000001</v>
      </c>
      <c r="B15" s="52" t="s">
        <v>450</v>
      </c>
      <c r="C15" s="45"/>
      <c r="D15" s="46"/>
      <c r="E15" s="47"/>
      <c r="F15" s="46"/>
      <c r="G15" s="47"/>
      <c r="H15" s="46"/>
      <c r="I15" s="47"/>
      <c r="J15" s="46"/>
      <c r="K15" s="46"/>
      <c r="L15" s="69">
        <f>SUM(C15:K15)</f>
        <v>0</v>
      </c>
    </row>
    <row r="16" spans="1:12" s="6" customFormat="1" ht="23.25" customHeight="1">
      <c r="A16" s="56"/>
      <c r="B16" s="55" t="s">
        <v>498</v>
      </c>
      <c r="C16" s="54">
        <f t="shared" ref="C16:K16" si="1">SUM(C14:C15)</f>
        <v>0</v>
      </c>
      <c r="D16" s="54">
        <f t="shared" si="1"/>
        <v>35</v>
      </c>
      <c r="E16" s="54">
        <f t="shared" si="1"/>
        <v>37</v>
      </c>
      <c r="F16" s="54">
        <f t="shared" si="1"/>
        <v>0</v>
      </c>
      <c r="G16" s="54">
        <f t="shared" si="1"/>
        <v>0</v>
      </c>
      <c r="H16" s="54">
        <f t="shared" si="1"/>
        <v>6</v>
      </c>
      <c r="I16" s="54">
        <f t="shared" si="1"/>
        <v>0</v>
      </c>
      <c r="J16" s="54">
        <f t="shared" si="1"/>
        <v>0</v>
      </c>
      <c r="K16" s="54">
        <f t="shared" si="1"/>
        <v>0</v>
      </c>
      <c r="L16" s="70">
        <f>SUM(L14:L15)</f>
        <v>78</v>
      </c>
    </row>
    <row r="17" spans="1:12" s="6" customFormat="1" ht="23.25" customHeight="1">
      <c r="A17" s="65"/>
      <c r="B17" s="62" t="s">
        <v>500</v>
      </c>
      <c r="C17" s="57"/>
      <c r="D17" s="59">
        <v>1</v>
      </c>
      <c r="E17" s="60">
        <v>1</v>
      </c>
      <c r="F17" s="59"/>
      <c r="G17" s="60"/>
      <c r="H17" s="59"/>
      <c r="I17" s="60"/>
      <c r="J17" s="59"/>
      <c r="K17" s="59"/>
      <c r="L17" s="71">
        <f>SUM(C17:K17)</f>
        <v>2</v>
      </c>
    </row>
    <row r="18" spans="1:12" s="6" customFormat="1" ht="23.25" customHeight="1">
      <c r="A18" s="46" t="s">
        <v>497</v>
      </c>
      <c r="B18" s="63" t="s">
        <v>512</v>
      </c>
      <c r="C18" s="45">
        <v>27</v>
      </c>
      <c r="D18" s="46">
        <v>67</v>
      </c>
      <c r="E18" s="47">
        <v>63</v>
      </c>
      <c r="F18" s="46">
        <v>4</v>
      </c>
      <c r="G18" s="47">
        <v>3</v>
      </c>
      <c r="H18" s="46">
        <v>15</v>
      </c>
      <c r="I18" s="47">
        <v>7</v>
      </c>
      <c r="J18" s="46">
        <v>7</v>
      </c>
      <c r="K18" s="46">
        <v>6</v>
      </c>
      <c r="L18" s="72">
        <f>SUM(C18:K18)</f>
        <v>199</v>
      </c>
    </row>
    <row r="19" spans="1:12" s="6" customFormat="1" ht="23.25" customHeight="1">
      <c r="A19" s="46">
        <v>19.664000000000001</v>
      </c>
      <c r="B19" s="63" t="s">
        <v>508</v>
      </c>
      <c r="C19" s="45">
        <v>5</v>
      </c>
      <c r="D19" s="46">
        <v>12</v>
      </c>
      <c r="E19" s="47">
        <v>14</v>
      </c>
      <c r="F19" s="46"/>
      <c r="G19" s="47"/>
      <c r="H19" s="46"/>
      <c r="I19" s="47">
        <v>7</v>
      </c>
      <c r="J19" s="46">
        <v>7</v>
      </c>
      <c r="K19" s="46">
        <v>5</v>
      </c>
      <c r="L19" s="72">
        <f>SUM(C19:K19)</f>
        <v>50</v>
      </c>
    </row>
    <row r="20" spans="1:12" ht="23.25" customHeight="1">
      <c r="A20" s="44"/>
      <c r="B20" s="63" t="s">
        <v>513</v>
      </c>
      <c r="C20" s="45">
        <v>1</v>
      </c>
      <c r="D20" s="46">
        <v>3</v>
      </c>
      <c r="E20" s="47">
        <v>3</v>
      </c>
      <c r="F20" s="46">
        <v>1</v>
      </c>
      <c r="G20" s="47"/>
      <c r="H20" s="46">
        <v>2</v>
      </c>
      <c r="I20" s="47">
        <v>1</v>
      </c>
      <c r="J20" s="46">
        <v>1</v>
      </c>
      <c r="K20" s="46"/>
      <c r="L20" s="72">
        <f>SUM(C20:K20)</f>
        <v>12</v>
      </c>
    </row>
    <row r="21" spans="1:12" ht="23.25" customHeight="1">
      <c r="A21" s="44"/>
      <c r="B21" s="63" t="s">
        <v>514</v>
      </c>
      <c r="C21" s="45"/>
      <c r="D21" s="45"/>
      <c r="E21" s="45">
        <v>3</v>
      </c>
      <c r="F21" s="45"/>
      <c r="G21" s="45"/>
      <c r="H21" s="45"/>
      <c r="I21" s="45"/>
      <c r="J21" s="45"/>
      <c r="K21" s="45"/>
      <c r="L21" s="72">
        <f>SUM(C21:K21)</f>
        <v>3</v>
      </c>
    </row>
    <row r="22" spans="1:12" ht="23.25" customHeight="1">
      <c r="A22" s="66"/>
      <c r="B22" s="64" t="s">
        <v>498</v>
      </c>
      <c r="C22" s="54">
        <f>SUM(C17:C21)</f>
        <v>33</v>
      </c>
      <c r="D22" s="54">
        <f t="shared" ref="D22:K22" si="2">SUM(D17:D21)</f>
        <v>83</v>
      </c>
      <c r="E22" s="54">
        <f t="shared" si="2"/>
        <v>84</v>
      </c>
      <c r="F22" s="54">
        <f t="shared" si="2"/>
        <v>5</v>
      </c>
      <c r="G22" s="54">
        <f t="shared" si="2"/>
        <v>3</v>
      </c>
      <c r="H22" s="54">
        <f t="shared" si="2"/>
        <v>17</v>
      </c>
      <c r="I22" s="54">
        <f t="shared" si="2"/>
        <v>15</v>
      </c>
      <c r="J22" s="54">
        <f t="shared" si="2"/>
        <v>15</v>
      </c>
      <c r="K22" s="54">
        <f t="shared" si="2"/>
        <v>11</v>
      </c>
      <c r="L22" s="70">
        <f>SUM(L17:L21)</f>
        <v>266</v>
      </c>
    </row>
    <row r="23" spans="1:12" ht="23.25" customHeight="1">
      <c r="A23" s="68"/>
      <c r="B23" s="67" t="s">
        <v>451</v>
      </c>
      <c r="C23" s="50">
        <f t="shared" ref="C23:L23" si="3">+C13+C16+C22</f>
        <v>154</v>
      </c>
      <c r="D23" s="50">
        <f t="shared" si="3"/>
        <v>710</v>
      </c>
      <c r="E23" s="50">
        <f t="shared" si="3"/>
        <v>606</v>
      </c>
      <c r="F23" s="50">
        <f t="shared" si="3"/>
        <v>115</v>
      </c>
      <c r="G23" s="50">
        <f t="shared" si="3"/>
        <v>57</v>
      </c>
      <c r="H23" s="50">
        <f t="shared" si="3"/>
        <v>394</v>
      </c>
      <c r="I23" s="50">
        <f t="shared" si="3"/>
        <v>106</v>
      </c>
      <c r="J23" s="50">
        <f t="shared" si="3"/>
        <v>77</v>
      </c>
      <c r="K23" s="50">
        <f t="shared" si="3"/>
        <v>61</v>
      </c>
      <c r="L23" s="73">
        <f t="shared" si="3"/>
        <v>2280</v>
      </c>
    </row>
  </sheetData>
  <mergeCells count="2">
    <mergeCell ref="A1:L1"/>
    <mergeCell ref="A3:L3"/>
  </mergeCells>
  <printOptions gridLinesSet="0"/>
  <pageMargins left="0.98425196850393704" right="0.39370078740157483" top="0.98425196850393704" bottom="0.98425196850393704" header="0.51181102362204722" footer="0.51181102362204722"/>
  <pageSetup paperSize="5" scale="85" orientation="landscape" horizontalDpi="300" verticalDpi="300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4"/>
  <sheetViews>
    <sheetView showGridLines="0" tabSelected="1" zoomScale="75" workbookViewId="0">
      <selection activeCell="A3" sqref="A3:N3"/>
    </sheetView>
  </sheetViews>
  <sheetFormatPr baseColWidth="10" defaultRowHeight="12.75"/>
  <cols>
    <col min="1" max="1" width="15.85546875" customWidth="1"/>
    <col min="2" max="2" width="27.140625" customWidth="1"/>
    <col min="3" max="3" width="12.42578125" customWidth="1"/>
    <col min="4" max="5" width="13.140625" customWidth="1"/>
    <col min="6" max="6" width="12.85546875" customWidth="1"/>
    <col min="7" max="8" width="13.28515625" customWidth="1"/>
    <col min="9" max="9" width="15" customWidth="1"/>
    <col min="10" max="11" width="13.42578125" customWidth="1"/>
    <col min="12" max="13" width="15.5703125" customWidth="1"/>
    <col min="14" max="14" width="13.7109375" customWidth="1"/>
  </cols>
  <sheetData>
    <row r="1" spans="1:14" ht="15.75">
      <c r="A1" s="1209" t="s">
        <v>516</v>
      </c>
      <c r="B1" s="1209"/>
      <c r="C1" s="1209"/>
      <c r="D1" s="1209"/>
      <c r="E1" s="1209"/>
      <c r="F1" s="1209"/>
      <c r="G1" s="1209"/>
      <c r="H1" s="1209"/>
      <c r="I1" s="1209"/>
      <c r="J1" s="1209"/>
      <c r="K1" s="1209"/>
      <c r="L1" s="1209"/>
      <c r="M1" s="1209"/>
      <c r="N1" s="1209"/>
    </row>
    <row r="2" spans="1:14" ht="15.75" customHeight="1">
      <c r="A2" s="1210" t="s">
        <v>1482</v>
      </c>
      <c r="B2" s="1210"/>
      <c r="C2" s="1210"/>
      <c r="D2" s="1210"/>
      <c r="E2" s="1210"/>
      <c r="F2" s="1210"/>
      <c r="G2" s="1210"/>
      <c r="H2" s="1210"/>
      <c r="I2" s="1210"/>
      <c r="J2" s="1210"/>
      <c r="K2" s="1210"/>
      <c r="L2" s="1210"/>
      <c r="M2" s="1210"/>
      <c r="N2" s="1210"/>
    </row>
    <row r="3" spans="1:14" ht="15.75">
      <c r="A3" s="1209">
        <f>+'14'!A3:L3</f>
        <v>2014</v>
      </c>
      <c r="B3" s="1209"/>
      <c r="C3" s="1209"/>
      <c r="D3" s="1209"/>
      <c r="E3" s="1209"/>
      <c r="F3" s="1209"/>
      <c r="G3" s="1209"/>
      <c r="H3" s="1209"/>
      <c r="I3" s="1209"/>
      <c r="J3" s="1209"/>
      <c r="K3" s="1209"/>
      <c r="L3" s="1209"/>
      <c r="M3" s="1209"/>
      <c r="N3" s="1209"/>
    </row>
    <row r="4" spans="1:14" ht="15.75">
      <c r="B4" s="4"/>
      <c r="C4" s="4"/>
      <c r="D4" s="4"/>
      <c r="E4" s="4"/>
      <c r="F4" s="4"/>
      <c r="G4" s="4"/>
      <c r="H4" s="4"/>
      <c r="I4" s="4"/>
      <c r="J4" s="3"/>
      <c r="K4" s="3"/>
      <c r="L4" s="3"/>
      <c r="M4" s="3"/>
      <c r="N4" s="3"/>
    </row>
    <row r="7" spans="1:14" ht="37.5" customHeight="1">
      <c r="A7" s="49" t="s">
        <v>534</v>
      </c>
      <c r="B7" s="75" t="s">
        <v>540</v>
      </c>
      <c r="C7" s="50" t="s">
        <v>478</v>
      </c>
      <c r="D7" s="49" t="s">
        <v>530</v>
      </c>
      <c r="E7" s="48" t="s">
        <v>531</v>
      </c>
      <c r="F7" s="49" t="s">
        <v>483</v>
      </c>
      <c r="G7" s="48" t="s">
        <v>532</v>
      </c>
      <c r="H7" s="49" t="s">
        <v>465</v>
      </c>
      <c r="I7" s="49" t="s">
        <v>445</v>
      </c>
      <c r="J7" s="49" t="s">
        <v>533</v>
      </c>
      <c r="K7" s="49" t="s">
        <v>468</v>
      </c>
      <c r="L7" s="48" t="s">
        <v>470</v>
      </c>
      <c r="M7" s="49" t="s">
        <v>1390</v>
      </c>
      <c r="N7" s="49" t="s">
        <v>507</v>
      </c>
    </row>
    <row r="8" spans="1:14" s="6" customFormat="1" ht="23.25" customHeight="1">
      <c r="A8" s="46"/>
      <c r="B8" s="52" t="s">
        <v>449</v>
      </c>
      <c r="C8" s="59">
        <v>10</v>
      </c>
      <c r="D8" s="59">
        <v>9</v>
      </c>
      <c r="E8" s="59">
        <v>5</v>
      </c>
      <c r="F8" s="59">
        <v>4</v>
      </c>
      <c r="G8" s="59">
        <v>10</v>
      </c>
      <c r="H8" s="59">
        <v>2</v>
      </c>
      <c r="I8" s="59">
        <v>5</v>
      </c>
      <c r="J8" s="59">
        <v>6</v>
      </c>
      <c r="K8" s="59">
        <v>5</v>
      </c>
      <c r="L8" s="59">
        <v>5</v>
      </c>
      <c r="M8" s="46"/>
      <c r="N8" s="69">
        <f>SUM(C8:L8)</f>
        <v>61</v>
      </c>
    </row>
    <row r="9" spans="1:14" s="6" customFormat="1" ht="23.25" customHeight="1">
      <c r="A9" s="46" t="s">
        <v>537</v>
      </c>
      <c r="B9" s="52" t="s">
        <v>518</v>
      </c>
      <c r="C9" s="46">
        <v>8</v>
      </c>
      <c r="D9" s="46">
        <v>7</v>
      </c>
      <c r="E9" s="46">
        <v>2</v>
      </c>
      <c r="F9" s="46">
        <v>4</v>
      </c>
      <c r="G9" s="46">
        <v>7</v>
      </c>
      <c r="H9" s="46">
        <v>2</v>
      </c>
      <c r="I9" s="46">
        <v>3</v>
      </c>
      <c r="J9" s="46">
        <v>4</v>
      </c>
      <c r="K9" s="46">
        <v>2</v>
      </c>
      <c r="L9" s="46">
        <v>4</v>
      </c>
      <c r="M9" s="46"/>
      <c r="N9" s="69">
        <f>SUM(C9:L9)</f>
        <v>43</v>
      </c>
    </row>
    <row r="10" spans="1:14" s="6" customFormat="1" ht="23.25" customHeight="1">
      <c r="A10" s="46"/>
      <c r="B10" s="1126" t="s">
        <v>1340</v>
      </c>
      <c r="C10" s="46">
        <v>1</v>
      </c>
      <c r="D10" s="46"/>
      <c r="E10" s="46"/>
      <c r="F10" s="46"/>
      <c r="G10" s="46"/>
      <c r="H10" s="46"/>
      <c r="I10" s="46"/>
      <c r="J10" s="46"/>
      <c r="K10" s="46"/>
      <c r="L10" s="46"/>
      <c r="M10" s="46"/>
      <c r="N10" s="69">
        <f>SUM(C10:L10)</f>
        <v>1</v>
      </c>
    </row>
    <row r="11" spans="1:14" s="6" customFormat="1" ht="23.25" customHeight="1">
      <c r="A11" s="56" t="s">
        <v>538</v>
      </c>
      <c r="B11" s="55" t="s">
        <v>498</v>
      </c>
      <c r="C11" s="54">
        <f t="shared" ref="C11:M11" si="0">SUM(C8:C10)</f>
        <v>19</v>
      </c>
      <c r="D11" s="54">
        <f t="shared" si="0"/>
        <v>16</v>
      </c>
      <c r="E11" s="54">
        <f t="shared" si="0"/>
        <v>7</v>
      </c>
      <c r="F11" s="54">
        <f t="shared" si="0"/>
        <v>8</v>
      </c>
      <c r="G11" s="54">
        <f t="shared" si="0"/>
        <v>17</v>
      </c>
      <c r="H11" s="54">
        <f t="shared" si="0"/>
        <v>4</v>
      </c>
      <c r="I11" s="54">
        <f t="shared" si="0"/>
        <v>8</v>
      </c>
      <c r="J11" s="54">
        <f t="shared" si="0"/>
        <v>10</v>
      </c>
      <c r="K11" s="54">
        <f t="shared" si="0"/>
        <v>7</v>
      </c>
      <c r="L11" s="54">
        <f t="shared" si="0"/>
        <v>9</v>
      </c>
      <c r="M11" s="54">
        <f t="shared" si="0"/>
        <v>0</v>
      </c>
      <c r="N11" s="56">
        <f>SUM(N8:N10)</f>
        <v>105</v>
      </c>
    </row>
    <row r="12" spans="1:14" s="6" customFormat="1" ht="23.25" customHeight="1">
      <c r="A12" s="59"/>
      <c r="B12" s="58" t="s">
        <v>521</v>
      </c>
      <c r="C12" s="57">
        <v>7</v>
      </c>
      <c r="D12" s="57">
        <v>4</v>
      </c>
      <c r="E12" s="57">
        <v>3</v>
      </c>
      <c r="F12" s="59">
        <v>2</v>
      </c>
      <c r="G12" s="59">
        <v>8</v>
      </c>
      <c r="H12" s="60">
        <v>2</v>
      </c>
      <c r="I12" s="57">
        <v>4</v>
      </c>
      <c r="J12" s="59">
        <v>4</v>
      </c>
      <c r="K12" s="59">
        <v>2</v>
      </c>
      <c r="L12" s="59">
        <v>4</v>
      </c>
      <c r="M12" s="59"/>
      <c r="N12" s="71">
        <f t="shared" ref="N12:N18" si="1">SUM(C12:M12)</f>
        <v>40</v>
      </c>
    </row>
    <row r="13" spans="1:14" s="6" customFormat="1" ht="23.25" customHeight="1">
      <c r="A13" s="46"/>
      <c r="B13" s="52" t="s">
        <v>520</v>
      </c>
      <c r="C13" s="45">
        <v>5</v>
      </c>
      <c r="D13" s="45">
        <v>4</v>
      </c>
      <c r="E13" s="45">
        <v>2</v>
      </c>
      <c r="F13" s="46">
        <v>2</v>
      </c>
      <c r="G13" s="46">
        <v>7</v>
      </c>
      <c r="H13" s="47">
        <v>2</v>
      </c>
      <c r="I13" s="45">
        <v>2</v>
      </c>
      <c r="J13" s="46">
        <v>3</v>
      </c>
      <c r="K13" s="46">
        <v>2</v>
      </c>
      <c r="L13" s="46">
        <v>3</v>
      </c>
      <c r="M13" s="46"/>
      <c r="N13" s="69">
        <f t="shared" si="1"/>
        <v>32</v>
      </c>
    </row>
    <row r="14" spans="1:14" s="6" customFormat="1" ht="23.25" customHeight="1">
      <c r="A14" s="46"/>
      <c r="B14" s="52" t="s">
        <v>519</v>
      </c>
      <c r="C14" s="45">
        <v>4</v>
      </c>
      <c r="D14" s="45">
        <v>3</v>
      </c>
      <c r="E14" s="45">
        <v>4</v>
      </c>
      <c r="F14" s="46">
        <v>2</v>
      </c>
      <c r="G14" s="46">
        <v>6</v>
      </c>
      <c r="H14" s="47">
        <v>1</v>
      </c>
      <c r="I14" s="45">
        <v>2</v>
      </c>
      <c r="J14" s="46">
        <v>3</v>
      </c>
      <c r="K14" s="45">
        <v>1</v>
      </c>
      <c r="L14" s="45">
        <v>3</v>
      </c>
      <c r="M14" s="45"/>
      <c r="N14" s="69">
        <f t="shared" si="1"/>
        <v>29</v>
      </c>
    </row>
    <row r="15" spans="1:14" s="6" customFormat="1" ht="23.25" customHeight="1">
      <c r="A15" s="46" t="s">
        <v>537</v>
      </c>
      <c r="B15" s="52" t="s">
        <v>522</v>
      </c>
      <c r="C15" s="45">
        <v>4</v>
      </c>
      <c r="D15" s="45">
        <v>2</v>
      </c>
      <c r="E15" s="45">
        <v>3</v>
      </c>
      <c r="F15" s="46">
        <v>1</v>
      </c>
      <c r="G15" s="46">
        <v>5</v>
      </c>
      <c r="H15" s="47">
        <v>1</v>
      </c>
      <c r="I15" s="45">
        <v>2</v>
      </c>
      <c r="J15" s="46">
        <v>2</v>
      </c>
      <c r="K15" s="45">
        <v>2</v>
      </c>
      <c r="L15" s="45">
        <v>2</v>
      </c>
      <c r="M15" s="45"/>
      <c r="N15" s="69">
        <f t="shared" si="1"/>
        <v>24</v>
      </c>
    </row>
    <row r="16" spans="1:14" s="6" customFormat="1" ht="23.25" customHeight="1">
      <c r="A16" s="46" t="s">
        <v>539</v>
      </c>
      <c r="B16" s="52" t="s">
        <v>523</v>
      </c>
      <c r="C16" s="45">
        <v>4</v>
      </c>
      <c r="D16" s="45">
        <v>3</v>
      </c>
      <c r="E16" s="45">
        <v>2</v>
      </c>
      <c r="F16" s="46">
        <v>2</v>
      </c>
      <c r="G16" s="46">
        <v>6</v>
      </c>
      <c r="H16" s="47">
        <v>1</v>
      </c>
      <c r="I16" s="45">
        <v>2</v>
      </c>
      <c r="J16" s="46">
        <v>3</v>
      </c>
      <c r="K16" s="45">
        <v>2</v>
      </c>
      <c r="L16" s="45">
        <v>3</v>
      </c>
      <c r="M16" s="45"/>
      <c r="N16" s="69">
        <f t="shared" si="1"/>
        <v>28</v>
      </c>
    </row>
    <row r="17" spans="1:14" s="6" customFormat="1" ht="23.25" customHeight="1">
      <c r="A17" s="46"/>
      <c r="B17" s="52" t="s">
        <v>524</v>
      </c>
      <c r="C17" s="45">
        <v>4</v>
      </c>
      <c r="D17" s="45">
        <v>2</v>
      </c>
      <c r="E17" s="45">
        <v>2</v>
      </c>
      <c r="F17" s="46">
        <v>2</v>
      </c>
      <c r="G17" s="46">
        <v>5</v>
      </c>
      <c r="H17" s="47">
        <v>1</v>
      </c>
      <c r="I17" s="45">
        <v>3</v>
      </c>
      <c r="J17" s="46">
        <v>3</v>
      </c>
      <c r="K17" s="45">
        <v>2</v>
      </c>
      <c r="L17" s="45">
        <v>3</v>
      </c>
      <c r="M17" s="45"/>
      <c r="N17" s="69">
        <f t="shared" si="1"/>
        <v>27</v>
      </c>
    </row>
    <row r="18" spans="1:14" s="6" customFormat="1" ht="23.25" customHeight="1">
      <c r="A18" s="46"/>
      <c r="B18" s="52" t="s">
        <v>525</v>
      </c>
      <c r="C18" s="45">
        <v>7</v>
      </c>
      <c r="D18" s="45">
        <v>3</v>
      </c>
      <c r="E18" s="45">
        <v>2</v>
      </c>
      <c r="F18" s="46">
        <v>1</v>
      </c>
      <c r="G18" s="46">
        <v>5</v>
      </c>
      <c r="H18" s="47">
        <v>4</v>
      </c>
      <c r="I18" s="45">
        <v>3</v>
      </c>
      <c r="J18" s="46">
        <v>6</v>
      </c>
      <c r="K18" s="45">
        <v>3</v>
      </c>
      <c r="L18" s="45">
        <v>2</v>
      </c>
      <c r="M18" s="45">
        <v>6</v>
      </c>
      <c r="N18" s="69">
        <f t="shared" si="1"/>
        <v>42</v>
      </c>
    </row>
    <row r="19" spans="1:14" s="6" customFormat="1" ht="23.25" customHeight="1">
      <c r="A19" s="56"/>
      <c r="B19" s="55" t="s">
        <v>498</v>
      </c>
      <c r="C19" s="54">
        <f t="shared" ref="C19:M19" si="2">SUM(C12:C18)</f>
        <v>35</v>
      </c>
      <c r="D19" s="54">
        <f t="shared" si="2"/>
        <v>21</v>
      </c>
      <c r="E19" s="54">
        <f t="shared" si="2"/>
        <v>18</v>
      </c>
      <c r="F19" s="56">
        <f t="shared" si="2"/>
        <v>12</v>
      </c>
      <c r="G19" s="74">
        <f t="shared" si="2"/>
        <v>42</v>
      </c>
      <c r="H19" s="56">
        <f t="shared" si="2"/>
        <v>12</v>
      </c>
      <c r="I19" s="54">
        <f t="shared" si="2"/>
        <v>18</v>
      </c>
      <c r="J19" s="56">
        <f t="shared" si="2"/>
        <v>24</v>
      </c>
      <c r="K19" s="54">
        <f t="shared" si="2"/>
        <v>14</v>
      </c>
      <c r="L19" s="54">
        <f t="shared" si="2"/>
        <v>20</v>
      </c>
      <c r="M19" s="54">
        <f t="shared" si="2"/>
        <v>6</v>
      </c>
      <c r="N19" s="69">
        <f t="shared" ref="N19:N20" si="3">SUM(C19:M19)</f>
        <v>222</v>
      </c>
    </row>
    <row r="20" spans="1:14" s="6" customFormat="1" ht="23.25" customHeight="1">
      <c r="A20" s="61"/>
      <c r="B20" s="58" t="s">
        <v>526</v>
      </c>
      <c r="C20" s="60">
        <v>26</v>
      </c>
      <c r="D20" s="59">
        <v>26</v>
      </c>
      <c r="E20" s="60">
        <v>23</v>
      </c>
      <c r="F20" s="59">
        <v>11</v>
      </c>
      <c r="G20" s="59">
        <v>32</v>
      </c>
      <c r="H20" s="60">
        <v>10</v>
      </c>
      <c r="I20" s="59">
        <v>16</v>
      </c>
      <c r="J20" s="60">
        <v>24</v>
      </c>
      <c r="K20" s="59">
        <v>12</v>
      </c>
      <c r="L20" s="59">
        <v>24</v>
      </c>
      <c r="M20" s="59">
        <v>5</v>
      </c>
      <c r="N20" s="71">
        <f t="shared" si="3"/>
        <v>209</v>
      </c>
    </row>
    <row r="21" spans="1:14" s="6" customFormat="1" ht="23.25" customHeight="1">
      <c r="A21" s="45" t="s">
        <v>535</v>
      </c>
      <c r="B21" s="52" t="s">
        <v>527</v>
      </c>
      <c r="C21" s="47">
        <v>5</v>
      </c>
      <c r="D21" s="46">
        <v>4</v>
      </c>
      <c r="E21" s="47">
        <v>2</v>
      </c>
      <c r="F21" s="46">
        <v>6</v>
      </c>
      <c r="G21" s="46">
        <v>13</v>
      </c>
      <c r="H21" s="47">
        <v>2</v>
      </c>
      <c r="I21" s="46">
        <v>7</v>
      </c>
      <c r="J21" s="47">
        <v>9</v>
      </c>
      <c r="K21" s="46">
        <v>7</v>
      </c>
      <c r="L21" s="46">
        <v>3</v>
      </c>
      <c r="M21" s="46"/>
      <c r="N21" s="72">
        <f>SUM(C21:L21)</f>
        <v>58</v>
      </c>
    </row>
    <row r="22" spans="1:14" s="6" customFormat="1" ht="23.25" customHeight="1">
      <c r="A22" s="45" t="s">
        <v>536</v>
      </c>
      <c r="B22" s="52" t="s">
        <v>528</v>
      </c>
      <c r="C22" s="47">
        <v>23</v>
      </c>
      <c r="D22" s="46">
        <v>17</v>
      </c>
      <c r="E22" s="47">
        <v>8</v>
      </c>
      <c r="F22" s="46">
        <v>7</v>
      </c>
      <c r="G22" s="46">
        <v>11</v>
      </c>
      <c r="H22" s="47">
        <v>2</v>
      </c>
      <c r="I22" s="46">
        <v>7</v>
      </c>
      <c r="J22" s="47">
        <v>13</v>
      </c>
      <c r="K22" s="46">
        <v>6</v>
      </c>
      <c r="L22" s="46">
        <v>7</v>
      </c>
      <c r="M22" s="46"/>
      <c r="N22" s="72">
        <f>SUM(C22:L22)</f>
        <v>101</v>
      </c>
    </row>
    <row r="23" spans="1:14" ht="23.25" customHeight="1">
      <c r="A23" s="53"/>
      <c r="B23" s="55" t="s">
        <v>529</v>
      </c>
      <c r="C23" s="47">
        <v>8</v>
      </c>
      <c r="D23" s="46">
        <v>11</v>
      </c>
      <c r="E23" s="47">
        <v>7</v>
      </c>
      <c r="F23" s="46">
        <v>3</v>
      </c>
      <c r="G23" s="46">
        <v>5</v>
      </c>
      <c r="H23" s="47">
        <v>2</v>
      </c>
      <c r="I23" s="46">
        <v>8</v>
      </c>
      <c r="J23" s="47">
        <v>12</v>
      </c>
      <c r="K23" s="46">
        <v>6</v>
      </c>
      <c r="L23" s="46">
        <v>12</v>
      </c>
      <c r="M23" s="46"/>
      <c r="N23" s="72">
        <f>SUM(C23:L23)</f>
        <v>74</v>
      </c>
    </row>
    <row r="24" spans="1:14" ht="23.25" customHeight="1">
      <c r="A24" s="68"/>
      <c r="B24" s="67" t="s">
        <v>451</v>
      </c>
      <c r="C24" s="50">
        <f t="shared" ref="C24:M24" si="4">+C11+C19+C20+C21+C22+C23</f>
        <v>116</v>
      </c>
      <c r="D24" s="50">
        <f t="shared" si="4"/>
        <v>95</v>
      </c>
      <c r="E24" s="50">
        <f t="shared" si="4"/>
        <v>65</v>
      </c>
      <c r="F24" s="50">
        <f t="shared" si="4"/>
        <v>47</v>
      </c>
      <c r="G24" s="50">
        <f t="shared" si="4"/>
        <v>120</v>
      </c>
      <c r="H24" s="50">
        <f t="shared" si="4"/>
        <v>32</v>
      </c>
      <c r="I24" s="50">
        <f t="shared" si="4"/>
        <v>64</v>
      </c>
      <c r="J24" s="50">
        <f t="shared" si="4"/>
        <v>92</v>
      </c>
      <c r="K24" s="50">
        <f t="shared" si="4"/>
        <v>52</v>
      </c>
      <c r="L24" s="50">
        <f t="shared" si="4"/>
        <v>75</v>
      </c>
      <c r="M24" s="50">
        <f t="shared" si="4"/>
        <v>11</v>
      </c>
      <c r="N24" s="73">
        <f>+N11+N19+N20+N21+N22+N23</f>
        <v>769</v>
      </c>
    </row>
  </sheetData>
  <mergeCells count="3">
    <mergeCell ref="A1:N1"/>
    <mergeCell ref="A3:N3"/>
    <mergeCell ref="A2:N2"/>
  </mergeCells>
  <printOptions gridLinesSet="0"/>
  <pageMargins left="0.98425196850393704" right="0.39370078740157483" top="0.98425196850393704" bottom="0.98425196850393704" header="0.51181102362204722" footer="0.51181102362204722"/>
  <pageSetup paperSize="5" scale="85" orientation="landscape" horizontalDpi="300" verticalDpi="300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0:G19"/>
  <sheetViews>
    <sheetView showGridLines="0" topLeftCell="A7" workbookViewId="0">
      <selection activeCell="F12" sqref="F12"/>
    </sheetView>
  </sheetViews>
  <sheetFormatPr baseColWidth="10" defaultRowHeight="12.75"/>
  <sheetData>
    <row r="10" spans="1:7" ht="23.25">
      <c r="A10" s="174" t="s">
        <v>732</v>
      </c>
      <c r="B10" s="1"/>
      <c r="C10" s="1"/>
      <c r="D10" s="1"/>
      <c r="E10" s="1"/>
      <c r="F10" s="1"/>
      <c r="G10" s="1"/>
    </row>
    <row r="11" spans="1:7" ht="23.25">
      <c r="A11" s="174"/>
      <c r="B11" s="1"/>
      <c r="C11" s="1"/>
      <c r="D11" s="1"/>
      <c r="E11" s="1"/>
      <c r="F11" s="1"/>
      <c r="G11" s="1"/>
    </row>
    <row r="12" spans="1:7" ht="23.25">
      <c r="A12" s="174"/>
      <c r="B12" s="1"/>
      <c r="C12" s="1"/>
      <c r="D12" s="1"/>
      <c r="E12" s="1"/>
      <c r="F12" s="1"/>
      <c r="G12" s="1"/>
    </row>
    <row r="13" spans="1:7" ht="23.25">
      <c r="A13" s="174"/>
      <c r="B13" s="1"/>
      <c r="C13" s="1"/>
      <c r="D13" s="1"/>
      <c r="E13" s="1"/>
      <c r="F13" s="1"/>
      <c r="G13" s="1"/>
    </row>
    <row r="14" spans="1:7" ht="23.25">
      <c r="A14" s="174" t="s">
        <v>733</v>
      </c>
      <c r="B14" s="1"/>
      <c r="C14" s="1"/>
      <c r="D14" s="1"/>
      <c r="E14" s="1"/>
      <c r="F14" s="1"/>
      <c r="G14" s="1"/>
    </row>
    <row r="15" spans="1:7" ht="23.25">
      <c r="A15" s="174"/>
      <c r="B15" s="1"/>
      <c r="C15" s="1"/>
      <c r="D15" s="1"/>
      <c r="E15" s="1"/>
      <c r="F15" s="1"/>
      <c r="G15" s="1"/>
    </row>
    <row r="16" spans="1:7" ht="23.25">
      <c r="A16" s="174"/>
      <c r="B16" s="1"/>
      <c r="C16" s="1"/>
      <c r="D16" s="1"/>
      <c r="E16" s="1"/>
      <c r="F16" s="1"/>
      <c r="G16" s="1"/>
    </row>
    <row r="17" spans="1:7" ht="23.25">
      <c r="A17" s="174"/>
      <c r="B17" s="1"/>
      <c r="C17" s="1"/>
      <c r="D17" s="1"/>
      <c r="E17" s="1"/>
      <c r="F17" s="1"/>
      <c r="G17" s="1"/>
    </row>
    <row r="18" spans="1:7" ht="23.25">
      <c r="A18" s="174" t="s">
        <v>734</v>
      </c>
      <c r="B18" s="1"/>
      <c r="C18" s="1"/>
      <c r="D18" s="1"/>
      <c r="E18" s="1"/>
      <c r="F18" s="1"/>
      <c r="G18" s="1"/>
    </row>
    <row r="19" spans="1:7">
      <c r="A19" s="1"/>
      <c r="B19" s="1"/>
      <c r="C19" s="1"/>
      <c r="D19" s="1"/>
      <c r="E19" s="1"/>
      <c r="F19" s="1"/>
      <c r="G19" s="1"/>
    </row>
  </sheetData>
  <phoneticPr fontId="19" type="noConversion"/>
  <printOptions gridLinesSet="0"/>
  <pageMargins left="0.98425196850393704" right="0.78740157480314965" top="2.3622047244094491" bottom="0.98425196850393704" header="0.51181102362204722" footer="0.51181102362204722"/>
  <pageSetup paperSize="9" orientation="portrait" horizontalDpi="300" verticalDpi="300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24"/>
  <sheetViews>
    <sheetView topLeftCell="A16" workbookViewId="0">
      <selection activeCell="F16" sqref="F16"/>
    </sheetView>
  </sheetViews>
  <sheetFormatPr baseColWidth="10" defaultRowHeight="12.75"/>
  <cols>
    <col min="1" max="1" width="5.85546875" customWidth="1"/>
    <col min="2" max="2" width="6.85546875" customWidth="1"/>
    <col min="3" max="3" width="6.5703125" customWidth="1"/>
    <col min="4" max="5" width="5.42578125" customWidth="1"/>
    <col min="6" max="6" width="6" customWidth="1"/>
    <col min="7" max="7" width="5" customWidth="1"/>
    <col min="8" max="10" width="5.85546875" customWidth="1"/>
    <col min="11" max="11" width="6.7109375" customWidth="1"/>
    <col min="12" max="12" width="4.85546875" customWidth="1"/>
    <col min="13" max="13" width="5.85546875" customWidth="1"/>
    <col min="14" max="14" width="4.7109375" customWidth="1"/>
    <col min="15" max="15" width="5.85546875" customWidth="1"/>
    <col min="16" max="16" width="4.85546875" customWidth="1"/>
    <col min="17" max="19" width="5.85546875" customWidth="1"/>
    <col min="20" max="20" width="5.5703125" customWidth="1"/>
    <col min="21" max="21" width="5.85546875" customWidth="1"/>
    <col min="22" max="22" width="5.28515625" customWidth="1"/>
    <col min="23" max="23" width="5.85546875" customWidth="1"/>
    <col min="24" max="24" width="4" customWidth="1"/>
    <col min="25" max="25" width="5.85546875" customWidth="1"/>
    <col min="26" max="26" width="4.7109375" customWidth="1"/>
    <col min="27" max="27" width="5.42578125" customWidth="1"/>
    <col min="28" max="28" width="4.7109375" customWidth="1"/>
    <col min="29" max="29" width="5.85546875" customWidth="1"/>
    <col min="30" max="30" width="4.7109375" customWidth="1"/>
    <col min="31" max="31" width="6" customWidth="1"/>
  </cols>
  <sheetData>
    <row r="1" spans="1:31">
      <c r="A1" s="118"/>
      <c r="B1" s="118" t="s">
        <v>735</v>
      </c>
      <c r="C1" s="185"/>
      <c r="D1" s="185"/>
      <c r="E1" s="185"/>
      <c r="F1" s="185"/>
      <c r="G1" s="185"/>
      <c r="H1" s="185"/>
      <c r="I1" s="185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</row>
    <row r="2" spans="1:31">
      <c r="A2" s="185"/>
      <c r="B2" s="185"/>
      <c r="C2" s="185"/>
      <c r="D2" s="244"/>
      <c r="E2" s="185"/>
      <c r="F2" s="185"/>
      <c r="G2" s="185"/>
      <c r="H2" s="185"/>
      <c r="I2" s="185"/>
      <c r="J2" s="117"/>
      <c r="K2" s="117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</row>
    <row r="3" spans="1:31">
      <c r="A3" s="118" t="str">
        <f>+'7'!A3</f>
        <v>AÑOS   2005  - 2014</v>
      </c>
      <c r="B3" s="185"/>
      <c r="C3" s="185"/>
      <c r="D3" s="185"/>
      <c r="E3" s="185"/>
      <c r="F3" s="185"/>
      <c r="G3" s="185"/>
      <c r="H3" s="185"/>
      <c r="I3" s="185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/>
      <c r="AC3" s="117"/>
      <c r="AD3" s="117"/>
      <c r="AE3" s="117"/>
    </row>
    <row r="4" spans="1:31">
      <c r="A4" s="117"/>
      <c r="B4" s="117"/>
      <c r="C4" s="117"/>
      <c r="D4" s="117"/>
      <c r="E4" s="117"/>
      <c r="F4" s="117"/>
      <c r="G4" s="117"/>
      <c r="H4" s="117"/>
      <c r="I4" s="117"/>
      <c r="J4" s="117"/>
      <c r="K4" s="117"/>
      <c r="L4" s="117"/>
      <c r="M4" s="117"/>
      <c r="N4" s="117"/>
      <c r="O4" s="117"/>
      <c r="P4" s="117"/>
      <c r="Q4" s="117"/>
      <c r="R4" s="117"/>
      <c r="S4" s="117"/>
      <c r="T4" s="117"/>
      <c r="U4" s="117"/>
      <c r="V4" s="117"/>
      <c r="W4" s="117"/>
      <c r="X4" s="117"/>
      <c r="Y4" s="117"/>
      <c r="Z4" s="117"/>
      <c r="AA4" s="117"/>
      <c r="AB4" s="117"/>
      <c r="AC4" s="117"/>
      <c r="AD4" s="117"/>
      <c r="AE4" s="117"/>
    </row>
    <row r="5" spans="1:31">
      <c r="A5" s="1"/>
      <c r="B5" s="117"/>
      <c r="C5" s="117"/>
      <c r="D5" s="117"/>
      <c r="E5" s="117"/>
      <c r="F5" s="117"/>
      <c r="G5" s="117"/>
      <c r="H5" s="117"/>
      <c r="I5" s="117"/>
      <c r="J5" s="245"/>
      <c r="K5" s="117"/>
      <c r="L5" s="117"/>
      <c r="M5" s="117"/>
      <c r="N5" s="117"/>
      <c r="O5" s="117"/>
      <c r="P5" s="117"/>
      <c r="Q5" s="117"/>
      <c r="R5" s="117"/>
      <c r="S5" s="117"/>
      <c r="T5" s="117"/>
      <c r="U5" s="117"/>
      <c r="V5" s="117"/>
      <c r="W5" s="117"/>
      <c r="X5" s="117"/>
      <c r="Y5" s="117"/>
      <c r="Z5" s="117"/>
      <c r="AA5" s="117"/>
      <c r="AB5" s="117"/>
      <c r="AC5" s="117"/>
      <c r="AD5" s="117"/>
      <c r="AE5" s="117"/>
    </row>
    <row r="6" spans="1:31" s="247" customFormat="1" ht="20.25" customHeight="1">
      <c r="A6" s="195"/>
      <c r="B6" s="194"/>
      <c r="C6" s="189"/>
      <c r="D6" s="194"/>
      <c r="E6" s="189"/>
      <c r="F6" s="194"/>
      <c r="G6" s="189"/>
      <c r="H6" s="246"/>
      <c r="I6" s="87"/>
      <c r="J6" s="122" t="s">
        <v>708</v>
      </c>
      <c r="K6" s="122"/>
      <c r="L6" s="122"/>
      <c r="M6" s="122"/>
      <c r="N6" s="122"/>
      <c r="O6" s="122"/>
      <c r="P6" s="122"/>
      <c r="Q6" s="122"/>
      <c r="R6" s="122"/>
      <c r="S6" s="122"/>
      <c r="T6" s="122"/>
      <c r="U6" s="122"/>
      <c r="V6" s="122"/>
      <c r="W6" s="122"/>
      <c r="X6" s="122"/>
      <c r="Y6" s="122"/>
      <c r="Z6" s="122"/>
      <c r="AA6" s="122"/>
      <c r="AB6" s="122"/>
      <c r="AC6" s="122"/>
      <c r="AD6" s="87"/>
      <c r="AE6" s="88"/>
    </row>
    <row r="7" spans="1:31">
      <c r="A7" s="190"/>
      <c r="B7" s="191"/>
      <c r="C7" s="248"/>
      <c r="D7" s="191"/>
      <c r="E7" s="248"/>
      <c r="F7" s="217" t="s">
        <v>716</v>
      </c>
      <c r="G7" s="217"/>
      <c r="H7" s="187" t="s">
        <v>717</v>
      </c>
      <c r="I7" s="249"/>
      <c r="J7" s="250"/>
      <c r="K7" s="251"/>
      <c r="L7" s="250"/>
      <c r="M7" s="251"/>
      <c r="N7" s="250"/>
      <c r="O7" s="251"/>
      <c r="P7" s="250"/>
      <c r="Q7" s="251"/>
      <c r="R7" s="187" t="s">
        <v>717</v>
      </c>
      <c r="S7" s="249"/>
      <c r="T7" s="250"/>
      <c r="U7" s="251"/>
      <c r="V7" s="250"/>
      <c r="W7" s="251"/>
      <c r="X7" s="250"/>
      <c r="Y7" s="251"/>
      <c r="Z7" s="221"/>
      <c r="AA7" s="251"/>
      <c r="AB7" s="250"/>
      <c r="AC7" s="251"/>
      <c r="AD7" s="250"/>
      <c r="AE7" s="251"/>
    </row>
    <row r="8" spans="1:31" ht="17.25" customHeight="1">
      <c r="A8" s="252" t="s">
        <v>709</v>
      </c>
      <c r="B8" s="204" t="s">
        <v>714</v>
      </c>
      <c r="C8" s="204"/>
      <c r="D8" s="204" t="s">
        <v>715</v>
      </c>
      <c r="E8" s="253"/>
      <c r="F8" s="204" t="s">
        <v>718</v>
      </c>
      <c r="G8" s="253"/>
      <c r="H8" s="204" t="s">
        <v>699</v>
      </c>
      <c r="I8" s="253"/>
      <c r="J8" s="204" t="s">
        <v>699</v>
      </c>
      <c r="K8" s="253"/>
      <c r="L8" s="254" t="s">
        <v>480</v>
      </c>
      <c r="M8" s="255"/>
      <c r="N8" s="204" t="s">
        <v>720</v>
      </c>
      <c r="O8" s="253"/>
      <c r="P8" s="204" t="s">
        <v>483</v>
      </c>
      <c r="Q8" s="253"/>
      <c r="R8" s="204" t="s">
        <v>721</v>
      </c>
      <c r="S8" s="253"/>
      <c r="T8" s="204" t="s">
        <v>721</v>
      </c>
      <c r="U8" s="253"/>
      <c r="V8" s="204" t="s">
        <v>445</v>
      </c>
      <c r="W8" s="253"/>
      <c r="X8" s="204" t="s">
        <v>463</v>
      </c>
      <c r="Y8" s="253"/>
      <c r="Z8" s="204" t="s">
        <v>468</v>
      </c>
      <c r="AA8" s="253"/>
      <c r="AB8" s="204" t="s">
        <v>722</v>
      </c>
      <c r="AC8" s="253"/>
      <c r="AD8" s="204" t="s">
        <v>470</v>
      </c>
      <c r="AE8" s="253"/>
    </row>
    <row r="9" spans="1:31" ht="18.75" customHeight="1">
      <c r="A9" s="256"/>
      <c r="B9" s="257" t="s">
        <v>736</v>
      </c>
      <c r="C9" s="258" t="s">
        <v>737</v>
      </c>
      <c r="D9" s="257" t="s">
        <v>736</v>
      </c>
      <c r="E9" s="258" t="s">
        <v>737</v>
      </c>
      <c r="F9" s="257" t="s">
        <v>736</v>
      </c>
      <c r="G9" s="258" t="s">
        <v>737</v>
      </c>
      <c r="H9" s="257" t="s">
        <v>736</v>
      </c>
      <c r="I9" s="258" t="s">
        <v>737</v>
      </c>
      <c r="J9" s="257" t="s">
        <v>736</v>
      </c>
      <c r="K9" s="258" t="s">
        <v>737</v>
      </c>
      <c r="L9" s="257" t="s">
        <v>736</v>
      </c>
      <c r="M9" s="259" t="s">
        <v>737</v>
      </c>
      <c r="N9" s="257" t="s">
        <v>736</v>
      </c>
      <c r="O9" s="259" t="s">
        <v>737</v>
      </c>
      <c r="P9" s="257" t="s">
        <v>736</v>
      </c>
      <c r="Q9" s="259" t="s">
        <v>737</v>
      </c>
      <c r="R9" s="257" t="s">
        <v>736</v>
      </c>
      <c r="S9" s="258" t="s">
        <v>737</v>
      </c>
      <c r="T9" s="257" t="s">
        <v>736</v>
      </c>
      <c r="U9" s="259" t="s">
        <v>737</v>
      </c>
      <c r="V9" s="257" t="s">
        <v>736</v>
      </c>
      <c r="W9" s="259" t="s">
        <v>737</v>
      </c>
      <c r="X9" s="257" t="s">
        <v>736</v>
      </c>
      <c r="Y9" s="259" t="s">
        <v>737</v>
      </c>
      <c r="Z9" s="257" t="s">
        <v>736</v>
      </c>
      <c r="AA9" s="259" t="s">
        <v>737</v>
      </c>
      <c r="AB9" s="257" t="s">
        <v>736</v>
      </c>
      <c r="AC9" s="259" t="s">
        <v>737</v>
      </c>
      <c r="AD9" s="257" t="s">
        <v>736</v>
      </c>
      <c r="AE9" s="259" t="s">
        <v>737</v>
      </c>
    </row>
    <row r="10" spans="1:31">
      <c r="A10" s="186"/>
      <c r="B10" s="187"/>
      <c r="C10" s="249"/>
      <c r="D10" s="187"/>
      <c r="E10" s="249"/>
      <c r="F10" s="187"/>
      <c r="G10" s="249"/>
      <c r="H10" s="260"/>
      <c r="I10" s="260"/>
      <c r="J10" s="187"/>
      <c r="K10" s="249"/>
      <c r="L10" s="187"/>
      <c r="M10" s="249"/>
      <c r="N10" s="187"/>
      <c r="O10" s="249"/>
      <c r="P10" s="187"/>
      <c r="Q10" s="249"/>
      <c r="R10" s="260"/>
      <c r="S10" s="260"/>
      <c r="T10" s="187"/>
      <c r="U10" s="249"/>
      <c r="V10" s="187"/>
      <c r="W10" s="249"/>
      <c r="X10" s="187"/>
      <c r="Y10" s="249"/>
      <c r="Z10" s="187"/>
      <c r="AA10" s="249"/>
      <c r="AB10" s="187"/>
      <c r="AC10" s="249"/>
      <c r="AD10" s="260"/>
      <c r="AE10" s="249"/>
    </row>
    <row r="11" spans="1:31" ht="26.25" customHeight="1">
      <c r="A11" s="261">
        <v>2005</v>
      </c>
      <c r="B11" s="266">
        <v>242980</v>
      </c>
      <c r="C11" s="262">
        <f>+B11/'7'!B11*1000</f>
        <v>14.936733730129896</v>
      </c>
      <c r="D11" s="207">
        <v>23406</v>
      </c>
      <c r="E11" s="262">
        <f>+D11/'7'!C11*1000</f>
        <v>14.077035775373668</v>
      </c>
      <c r="F11" s="207">
        <f t="shared" ref="F11:F17" si="0">+J11+L11+N11+P11+T11+V11+X11+Z11+AB11+AD11</f>
        <v>3675</v>
      </c>
      <c r="G11" s="262">
        <f>+F11/'7'!D11*1000</f>
        <v>14.973475557583708</v>
      </c>
      <c r="H11" s="208">
        <f t="shared" ref="H11:H16" si="1">+J11+L11+N11+P11</f>
        <v>1524</v>
      </c>
      <c r="I11" s="263">
        <f>+H11/'7'!E11*1000</f>
        <v>14.95393129433929</v>
      </c>
      <c r="J11" s="207">
        <v>1040</v>
      </c>
      <c r="K11" s="262">
        <f>+J11/'7'!F11*1000</f>
        <v>15.365976182736917</v>
      </c>
      <c r="L11" s="207">
        <v>217</v>
      </c>
      <c r="M11" s="262">
        <f>+L11/'7'!G11*1000</f>
        <v>13.587977457733251</v>
      </c>
      <c r="N11" s="207">
        <v>149</v>
      </c>
      <c r="O11" s="262">
        <f>+N11/'7'!H11*1000</f>
        <v>13.687304795149734</v>
      </c>
      <c r="P11" s="207">
        <v>118</v>
      </c>
      <c r="Q11" s="262">
        <f>+P11/'7'!I11*1000</f>
        <v>16</v>
      </c>
      <c r="R11" s="208">
        <f t="shared" ref="R11:R16" si="2">+T11+V11+X11+Z11+AB11+AD11</f>
        <v>2151</v>
      </c>
      <c r="S11" s="263">
        <f>+R11/'7'!J11*1000</f>
        <v>14.987353767044544</v>
      </c>
      <c r="T11" s="207">
        <v>1152</v>
      </c>
      <c r="U11" s="262">
        <f>+T11/'7'!K11*1000</f>
        <v>16.222838715128642</v>
      </c>
      <c r="V11" s="207">
        <v>176</v>
      </c>
      <c r="W11" s="262">
        <f>+V11/'7'!L11*1000</f>
        <v>11.043483717136223</v>
      </c>
      <c r="X11" s="207">
        <v>177</v>
      </c>
      <c r="Y11" s="262">
        <f>+X11/'7'!M11*1000</f>
        <v>12.82422837269961</v>
      </c>
      <c r="Z11" s="207">
        <v>115</v>
      </c>
      <c r="AA11" s="262">
        <f>+Z11/'7'!N11*1000</f>
        <v>16.238350748376167</v>
      </c>
      <c r="AB11" s="207">
        <v>327</v>
      </c>
      <c r="AC11" s="262">
        <f>+AB11/'7'!O11*1000</f>
        <v>14.311348417873868</v>
      </c>
      <c r="AD11" s="207">
        <v>204</v>
      </c>
      <c r="AE11" s="262">
        <f>+AD11/'7'!P11*1000</f>
        <v>15.88785046728972</v>
      </c>
    </row>
    <row r="12" spans="1:31" ht="26.25" customHeight="1">
      <c r="A12" s="261">
        <v>2006</v>
      </c>
      <c r="B12" s="266">
        <v>243561</v>
      </c>
      <c r="C12" s="262">
        <f>+B12/'7'!B12*1000</f>
        <v>14.821750860511198</v>
      </c>
      <c r="D12" s="207">
        <v>22813</v>
      </c>
      <c r="E12" s="262">
        <f>+D12/'7'!C12*1000</f>
        <v>13.562979896016957</v>
      </c>
      <c r="F12" s="207">
        <f t="shared" si="0"/>
        <v>3538</v>
      </c>
      <c r="G12" s="262">
        <f>+F12/'7'!D12*1000</f>
        <v>14.225174296581615</v>
      </c>
      <c r="H12" s="208">
        <f t="shared" si="1"/>
        <v>1411</v>
      </c>
      <c r="I12" s="263">
        <f>+H12/'7'!E12*1000</f>
        <v>13.630874752451335</v>
      </c>
      <c r="J12" s="207">
        <v>931</v>
      </c>
      <c r="K12" s="262">
        <f>+J12/'7'!F12*1000</f>
        <v>13.511552304655753</v>
      </c>
      <c r="L12" s="207">
        <v>226</v>
      </c>
      <c r="M12" s="262">
        <f>+L12/'7'!G12*1000</f>
        <v>13.94029114236368</v>
      </c>
      <c r="N12" s="207">
        <v>151</v>
      </c>
      <c r="O12" s="262">
        <f>+N12/'7'!H12*1000</f>
        <v>13.822775540095204</v>
      </c>
      <c r="P12" s="207">
        <v>103</v>
      </c>
      <c r="Q12" s="262">
        <f>+P12/'7'!I12*1000</f>
        <v>13.779264214046822</v>
      </c>
      <c r="R12" s="208">
        <f t="shared" si="2"/>
        <v>2127</v>
      </c>
      <c r="S12" s="263">
        <f>+R12/'7'!J12*1000</f>
        <v>14.648861218052465</v>
      </c>
      <c r="T12" s="207">
        <v>1122</v>
      </c>
      <c r="U12" s="262">
        <f>+T12/'7'!K12*1000</f>
        <v>15.566685627870193</v>
      </c>
      <c r="V12" s="207">
        <v>189</v>
      </c>
      <c r="W12" s="262">
        <f>+V12/'7'!L12*1000</f>
        <v>11.709311690725482</v>
      </c>
      <c r="X12" s="207">
        <v>173</v>
      </c>
      <c r="Y12" s="262">
        <f>+X12/'7'!M12*1000</f>
        <v>12.413892078071182</v>
      </c>
      <c r="Z12" s="207">
        <v>113</v>
      </c>
      <c r="AA12" s="262">
        <f>+Z12/'7'!N12*1000</f>
        <v>15.808617795187464</v>
      </c>
      <c r="AB12" s="207">
        <v>336</v>
      </c>
      <c r="AC12" s="262">
        <f>+AB12/'7'!O12*1000</f>
        <v>14.622046216110363</v>
      </c>
      <c r="AD12" s="207">
        <v>194</v>
      </c>
      <c r="AE12" s="262">
        <f>+AD12/'7'!P12*1000</f>
        <v>15.017804613717294</v>
      </c>
    </row>
    <row r="13" spans="1:31" ht="26.25" customHeight="1">
      <c r="A13" s="261">
        <v>2007</v>
      </c>
      <c r="B13" s="266">
        <v>242054</v>
      </c>
      <c r="C13" s="262">
        <f>+B13/'7'!B13*1000</f>
        <v>14.583258274423889</v>
      </c>
      <c r="D13" s="207">
        <v>22812</v>
      </c>
      <c r="E13" s="262">
        <f>+D13/'7'!C13*1000</f>
        <v>13.408625086919184</v>
      </c>
      <c r="F13" s="207">
        <f t="shared" si="0"/>
        <v>3610</v>
      </c>
      <c r="G13" s="262">
        <f>+F13/'7'!D13*1000</f>
        <v>14.325055752640811</v>
      </c>
      <c r="H13" s="208">
        <f t="shared" si="1"/>
        <v>1442</v>
      </c>
      <c r="I13" s="263">
        <f>+H13/'7'!E13*1000</f>
        <v>13.714655279000979</v>
      </c>
      <c r="J13" s="207">
        <v>982</v>
      </c>
      <c r="K13" s="262">
        <f>+J13/'7'!F13*1000</f>
        <v>14.003165685114151</v>
      </c>
      <c r="L13" s="207">
        <v>210</v>
      </c>
      <c r="M13" s="262">
        <f>+L13/'7'!G13*1000</f>
        <v>12.752778283840408</v>
      </c>
      <c r="N13" s="207">
        <v>150</v>
      </c>
      <c r="O13" s="262">
        <f>+N13/'7'!H13*1000</f>
        <v>13.677395823835143</v>
      </c>
      <c r="P13" s="207">
        <v>100</v>
      </c>
      <c r="Q13" s="262">
        <f>+P13/'7'!I13*1000</f>
        <v>13.189132155104195</v>
      </c>
      <c r="R13" s="208">
        <f t="shared" si="2"/>
        <v>2168</v>
      </c>
      <c r="S13" s="263">
        <f>+R13/'7'!J13*1000</f>
        <v>14.762057155308009</v>
      </c>
      <c r="T13" s="207">
        <v>1208</v>
      </c>
      <c r="U13" s="262">
        <f>+T13/'7'!K13*1000</f>
        <v>16.511980754247599</v>
      </c>
      <c r="V13" s="207">
        <v>190</v>
      </c>
      <c r="W13" s="262">
        <f>+V13/'7'!L13*1000</f>
        <v>11.627906976744185</v>
      </c>
      <c r="X13" s="207">
        <v>201</v>
      </c>
      <c r="Y13" s="262">
        <f>+X13/'7'!M13*1000</f>
        <v>14.304013663535439</v>
      </c>
      <c r="Z13" s="207">
        <v>88</v>
      </c>
      <c r="AA13" s="262">
        <f>+Z13/'7'!N13*1000</f>
        <v>12.18836565096953</v>
      </c>
      <c r="AB13" s="207">
        <v>307</v>
      </c>
      <c r="AC13" s="262">
        <f>+AB13/'7'!O13*1000</f>
        <v>13.290618641499632</v>
      </c>
      <c r="AD13" s="207">
        <v>174</v>
      </c>
      <c r="AE13" s="262">
        <f>+AD13/'7'!P13*1000</f>
        <v>13.391826368044331</v>
      </c>
    </row>
    <row r="14" spans="1:31" ht="26.25" customHeight="1">
      <c r="A14" s="261">
        <v>2008</v>
      </c>
      <c r="B14" s="207">
        <v>248366</v>
      </c>
      <c r="C14" s="262">
        <f>+B14/'7'!B14*1000</f>
        <v>14.815906253299584</v>
      </c>
      <c r="D14" s="207">
        <v>23203</v>
      </c>
      <c r="E14" s="262">
        <f>+D14/'7'!C14*1000</f>
        <v>13.485506117676051</v>
      </c>
      <c r="F14" s="207">
        <f t="shared" si="0"/>
        <v>3667</v>
      </c>
      <c r="G14" s="262">
        <f>+F14/'7'!D14*1000</f>
        <v>14.363156369219681</v>
      </c>
      <c r="H14" s="208">
        <f t="shared" si="1"/>
        <v>1473</v>
      </c>
      <c r="I14" s="263">
        <f>+H14/'7'!E14*1000</f>
        <v>13.796785433292122</v>
      </c>
      <c r="J14" s="207">
        <v>965</v>
      </c>
      <c r="K14" s="262">
        <f>+J14/'7'!F14*1000</f>
        <v>13.525066924553952</v>
      </c>
      <c r="L14" s="207">
        <v>244</v>
      </c>
      <c r="M14" s="262">
        <f>+L14/'7'!G14*1000</f>
        <v>14.59068348980446</v>
      </c>
      <c r="N14" s="207">
        <v>152</v>
      </c>
      <c r="O14" s="262">
        <f>+N14/'7'!H14*1000</f>
        <v>13.825723121702747</v>
      </c>
      <c r="P14" s="207">
        <v>112</v>
      </c>
      <c r="Q14" s="262">
        <f>+P14/'7'!I14*1000</f>
        <v>14.549233567160302</v>
      </c>
      <c r="R14" s="208">
        <f t="shared" si="2"/>
        <v>2194</v>
      </c>
      <c r="S14" s="263">
        <f>+R14/'7'!J14*1000</f>
        <v>14.770233334679753</v>
      </c>
      <c r="T14" s="207">
        <v>1192</v>
      </c>
      <c r="U14" s="262">
        <f>+T14/'7'!K14*1000</f>
        <v>16.056683325026604</v>
      </c>
      <c r="V14" s="207">
        <v>200</v>
      </c>
      <c r="W14" s="262">
        <f>+V14/'7'!L14*1000</f>
        <v>12.091167402212683</v>
      </c>
      <c r="X14" s="207">
        <v>164</v>
      </c>
      <c r="Y14" s="262">
        <f>+X14/'7'!M14*1000</f>
        <v>11.568848758465011</v>
      </c>
      <c r="Z14" s="207">
        <v>126</v>
      </c>
      <c r="AA14" s="262">
        <f>+Z14/'7'!N14*1000</f>
        <v>17.279210093252882</v>
      </c>
      <c r="AB14" s="207">
        <v>317</v>
      </c>
      <c r="AC14" s="262">
        <f>+AB14/'7'!O14*1000</f>
        <v>13.650848333476874</v>
      </c>
      <c r="AD14" s="207">
        <v>195</v>
      </c>
      <c r="AE14" s="262">
        <f>+AD14/'7'!P14*1000</f>
        <v>14.915098669114272</v>
      </c>
    </row>
    <row r="15" spans="1:31" ht="26.25" customHeight="1">
      <c r="A15" s="261">
        <v>2009</v>
      </c>
      <c r="B15" s="266">
        <v>252240</v>
      </c>
      <c r="C15" s="262">
        <f>+B15/'7'!B15*1000</f>
        <v>14.899987731020252</v>
      </c>
      <c r="D15" s="207">
        <v>23735</v>
      </c>
      <c r="E15" s="262">
        <f>+D15/'7'!C15*1000</f>
        <v>13.641776770298573</v>
      </c>
      <c r="F15" s="207">
        <f t="shared" si="0"/>
        <v>3702</v>
      </c>
      <c r="G15" s="262">
        <f>+F15/'7'!D15*1000</f>
        <v>14.317040062187466</v>
      </c>
      <c r="H15" s="208">
        <f t="shared" si="1"/>
        <v>1534</v>
      </c>
      <c r="I15" s="263">
        <f>+H15/'7'!E15*1000</f>
        <v>14.156515319306017</v>
      </c>
      <c r="J15" s="207">
        <v>985</v>
      </c>
      <c r="K15" s="262">
        <f>+J15/'7'!F15*1000</f>
        <v>13.57441120130094</v>
      </c>
      <c r="L15" s="207">
        <v>260</v>
      </c>
      <c r="M15" s="262">
        <f>+L15/'7'!G15*1000</f>
        <v>15.324767181421667</v>
      </c>
      <c r="N15" s="207">
        <v>156</v>
      </c>
      <c r="O15" s="262">
        <f>+N15/'7'!H15*1000</f>
        <v>14.141963557247758</v>
      </c>
      <c r="P15" s="207">
        <v>133</v>
      </c>
      <c r="Q15" s="262">
        <f>+P15/'7'!I15*1000</f>
        <v>17.051282051282051</v>
      </c>
      <c r="R15" s="208">
        <f t="shared" si="2"/>
        <v>2168</v>
      </c>
      <c r="S15" s="263">
        <f>+R15/'7'!J15*1000</f>
        <v>14.432838702375959</v>
      </c>
      <c r="T15" s="207">
        <v>1169</v>
      </c>
      <c r="U15" s="262">
        <f>+T15/'7'!K15*1000</f>
        <v>15.524156064911955</v>
      </c>
      <c r="V15" s="207">
        <v>203</v>
      </c>
      <c r="W15" s="262">
        <f>+V15/'7'!L15*1000</f>
        <v>12.123021797551509</v>
      </c>
      <c r="X15" s="207">
        <v>170</v>
      </c>
      <c r="Y15" s="262">
        <f>+X15/'7'!M15*1000</f>
        <v>11.869850579528</v>
      </c>
      <c r="Z15" s="207">
        <v>101</v>
      </c>
      <c r="AA15" s="262">
        <f>+Z15/'7'!N15*1000</f>
        <v>13.732154996600951</v>
      </c>
      <c r="AB15" s="207">
        <v>344</v>
      </c>
      <c r="AC15" s="262">
        <f>+AB15/'7'!O15*1000</f>
        <v>14.734858219823524</v>
      </c>
      <c r="AD15" s="207">
        <v>181</v>
      </c>
      <c r="AE15" s="262">
        <f>+AD15/'7'!P15*1000</f>
        <v>13.771589439245226</v>
      </c>
    </row>
    <row r="16" spans="1:31" ht="26.25" customHeight="1">
      <c r="A16" s="261">
        <v>2010</v>
      </c>
      <c r="B16" s="266">
        <v>251199</v>
      </c>
      <c r="C16" s="262">
        <f>+B16/'7'!B16*1000</f>
        <v>14.694924088598109</v>
      </c>
      <c r="D16" s="207">
        <v>23820</v>
      </c>
      <c r="E16" s="262">
        <f>+D16/'7'!C16*1000</f>
        <v>13.540499565987766</v>
      </c>
      <c r="F16" s="207">
        <f t="shared" si="0"/>
        <v>3926</v>
      </c>
      <c r="G16" s="262">
        <f>+F16/'7'!D16*1000</f>
        <v>14.991255737229176</v>
      </c>
      <c r="H16" s="208">
        <f t="shared" si="1"/>
        <v>1661</v>
      </c>
      <c r="I16" s="263">
        <f>+H16/'7'!E16*1000</f>
        <v>15.10123555563637</v>
      </c>
      <c r="J16" s="207">
        <v>1063</v>
      </c>
      <c r="K16" s="262">
        <f>+J16/'7'!F16*1000</f>
        <v>14.40437958182582</v>
      </c>
      <c r="L16" s="207">
        <v>249</v>
      </c>
      <c r="M16" s="262">
        <f>+L16/'7'!G16*1000</f>
        <v>14.46160994308282</v>
      </c>
      <c r="N16" s="207">
        <v>186</v>
      </c>
      <c r="O16" s="262">
        <f>+N16/'7'!H16*1000</f>
        <v>16.808241460328937</v>
      </c>
      <c r="P16" s="207">
        <v>163</v>
      </c>
      <c r="Q16" s="262">
        <f>+P16/'7'!I16*1000</f>
        <v>20.606826801517066</v>
      </c>
      <c r="R16" s="208">
        <f t="shared" si="2"/>
        <v>2265</v>
      </c>
      <c r="S16" s="263">
        <f>+R16/'7'!J16*1000</f>
        <v>14.911616577240856</v>
      </c>
      <c r="T16" s="207">
        <v>1217</v>
      </c>
      <c r="U16" s="262">
        <f>+T16/'7'!K16*1000</f>
        <v>15.933490442524221</v>
      </c>
      <c r="V16" s="207">
        <v>190</v>
      </c>
      <c r="W16" s="262">
        <f>+V16/'7'!L16*1000</f>
        <v>11.205472988912479</v>
      </c>
      <c r="X16" s="207">
        <v>193</v>
      </c>
      <c r="Y16" s="262">
        <f>+X16/'7'!M16*1000</f>
        <v>13.36935439179828</v>
      </c>
      <c r="Z16" s="207">
        <v>105</v>
      </c>
      <c r="AA16" s="262">
        <f>+Z16/'7'!N16*1000</f>
        <v>14.129995962858295</v>
      </c>
      <c r="AB16" s="207">
        <v>330</v>
      </c>
      <c r="AC16" s="262">
        <f>+AB16/'7'!O16*1000</f>
        <v>14.058705747028501</v>
      </c>
      <c r="AD16" s="207">
        <v>230</v>
      </c>
      <c r="AE16" s="262">
        <f>+AD16/'7'!P16*1000</f>
        <v>17.399198123912551</v>
      </c>
    </row>
    <row r="17" spans="1:31" ht="26.25" customHeight="1">
      <c r="A17" s="261">
        <v>2011</v>
      </c>
      <c r="B17" s="266">
        <v>248879</v>
      </c>
      <c r="C17" s="262">
        <f>+B17/'7'!B17*1000</f>
        <v>14.429064640590893</v>
      </c>
      <c r="D17" s="207">
        <v>23694</v>
      </c>
      <c r="E17" s="262">
        <f>+D17/'7'!C17*1000</f>
        <v>13.330182787895154</v>
      </c>
      <c r="F17" s="207">
        <f t="shared" si="0"/>
        <v>3698</v>
      </c>
      <c r="G17" s="262">
        <f>+F17/'7'!D17*1000</f>
        <v>13.959879502608512</v>
      </c>
      <c r="H17" s="208">
        <f>+J17+L17+N17+P17</f>
        <v>1511</v>
      </c>
      <c r="I17" s="263">
        <f>+H17/'7'!E17*1000</f>
        <v>13.553392833116563</v>
      </c>
      <c r="J17" s="207">
        <v>969</v>
      </c>
      <c r="K17" s="262">
        <f>+J17/'7'!F17*1000</f>
        <v>12.92706679651543</v>
      </c>
      <c r="L17" s="207">
        <v>232</v>
      </c>
      <c r="M17" s="262">
        <f>+L17/'7'!G17*1000</f>
        <v>13.29741502837164</v>
      </c>
      <c r="N17" s="207">
        <v>167</v>
      </c>
      <c r="O17" s="262">
        <f>+N17/'7'!H17*1000</f>
        <v>15.07492327134862</v>
      </c>
      <c r="P17" s="207">
        <v>143</v>
      </c>
      <c r="Q17" s="262">
        <f>+P17/'7'!I17*1000</f>
        <v>17.872765904261968</v>
      </c>
      <c r="R17" s="208">
        <f>+T17+V17+X17+Z17+AB17+AD17</f>
        <v>2187</v>
      </c>
      <c r="S17" s="263">
        <f>+R17/'7'!J17*1000</f>
        <v>14.255265061890142</v>
      </c>
      <c r="T17" s="207">
        <v>1120</v>
      </c>
      <c r="U17" s="262">
        <f>+T17/'7'!K17*1000</f>
        <v>14.471406052148744</v>
      </c>
      <c r="V17" s="207">
        <v>213</v>
      </c>
      <c r="W17" s="262">
        <f>+V17/'7'!L17*1000</f>
        <v>12.421998017145857</v>
      </c>
      <c r="X17" s="207">
        <v>252</v>
      </c>
      <c r="Y17" s="262">
        <f>+X17/'7'!M17*1000</f>
        <v>17.32673267326733</v>
      </c>
      <c r="Z17" s="207">
        <v>100</v>
      </c>
      <c r="AA17" s="262">
        <f>+Z17/'7'!N17*1000</f>
        <v>13.345789403443213</v>
      </c>
      <c r="AB17" s="207">
        <v>324</v>
      </c>
      <c r="AC17" s="262">
        <f>+AB17/'7'!O17*1000</f>
        <v>13.752705972239909</v>
      </c>
      <c r="AD17" s="207">
        <v>178</v>
      </c>
      <c r="AE17" s="262">
        <f>+AD17/'7'!P17*1000</f>
        <v>13.403614457831326</v>
      </c>
    </row>
    <row r="18" spans="1:31" ht="26.25" customHeight="1">
      <c r="A18" s="261">
        <v>2012</v>
      </c>
      <c r="B18" s="266">
        <v>243635</v>
      </c>
      <c r="C18" s="262">
        <f>+B18/'7'!B18*1000</f>
        <v>13.999895418106343</v>
      </c>
      <c r="D18" s="207">
        <v>23619</v>
      </c>
      <c r="E18" s="262">
        <f>+D18/'7'!C18*1000</f>
        <v>13.152611839522432</v>
      </c>
      <c r="F18" s="207">
        <f>+J18+L18+N18+P18+T18+V18+X18+Z18+AB18+AD18</f>
        <v>3630</v>
      </c>
      <c r="G18" s="262">
        <f>+F18/'7'!D18*1000</f>
        <v>13.549225118695691</v>
      </c>
      <c r="H18" s="208">
        <f>+J18+L18+N18+P18</f>
        <v>1447</v>
      </c>
      <c r="I18" s="263">
        <f>+H18/'7'!E18*1000</f>
        <v>12.807349843337876</v>
      </c>
      <c r="J18" s="207">
        <v>939</v>
      </c>
      <c r="K18" s="262">
        <f>+J18/'7'!F18*1000</f>
        <v>12.334165243662158</v>
      </c>
      <c r="L18" s="207">
        <v>218</v>
      </c>
      <c r="M18" s="262">
        <f>+L18/'7'!G18*1000</f>
        <v>12.332409345477174</v>
      </c>
      <c r="N18" s="207">
        <v>154</v>
      </c>
      <c r="O18" s="262">
        <f>+N18/'7'!H18*1000</f>
        <v>13.885132089081237</v>
      </c>
      <c r="P18" s="207">
        <v>136</v>
      </c>
      <c r="Q18" s="262">
        <f>+P18/'7'!I18*1000</f>
        <v>16.82335477486393</v>
      </c>
      <c r="R18" s="208">
        <f>+T18+V18+X18+Z18+AB18+AD18</f>
        <v>2183</v>
      </c>
      <c r="S18" s="263">
        <f>+R18/'7'!J18*1000</f>
        <v>14.090234299361001</v>
      </c>
      <c r="T18" s="207">
        <v>1148</v>
      </c>
      <c r="U18" s="262">
        <f>+T18/'7'!K18*1000</f>
        <v>14.637629418064975</v>
      </c>
      <c r="V18" s="207">
        <v>199</v>
      </c>
      <c r="W18" s="262">
        <f>+V18/'7'!L18*1000</f>
        <v>11.479003230272266</v>
      </c>
      <c r="X18" s="207">
        <v>182</v>
      </c>
      <c r="Y18" s="262">
        <f>+X18/'7'!M18*1000</f>
        <v>12.421512421512421</v>
      </c>
      <c r="Z18" s="207">
        <v>99</v>
      </c>
      <c r="AA18" s="262">
        <f>+Z18/'7'!N18*1000</f>
        <v>13.102170460561142</v>
      </c>
      <c r="AB18" s="207">
        <v>370</v>
      </c>
      <c r="AC18" s="262">
        <f>+AB18/'7'!O18*1000</f>
        <v>15.652762501057619</v>
      </c>
      <c r="AD18" s="207">
        <v>185</v>
      </c>
      <c r="AE18" s="262">
        <f>+AD18/'7'!P18*1000</f>
        <v>13.888888888888888</v>
      </c>
    </row>
    <row r="19" spans="1:31" ht="26.25" customHeight="1">
      <c r="A19" s="261">
        <v>2013</v>
      </c>
      <c r="B19" s="266"/>
      <c r="C19" s="262"/>
      <c r="D19" s="207"/>
      <c r="E19" s="267"/>
      <c r="F19" s="207">
        <f>+J19+L19+N19+P19+T19+V19+X19+Z19+AB19+AD19</f>
        <v>3528</v>
      </c>
      <c r="G19" s="262">
        <f>+F19/'7'!D19*1000</f>
        <v>13.020996726297025</v>
      </c>
      <c r="H19" s="208">
        <f>+J19+L19+N19+P19</f>
        <v>1458</v>
      </c>
      <c r="I19" s="263">
        <f>+H19/'7'!E19*1000</f>
        <v>12.734069312465065</v>
      </c>
      <c r="J19" s="207">
        <v>911</v>
      </c>
      <c r="K19" s="262">
        <v>11.609088476291207</v>
      </c>
      <c r="L19" s="207">
        <v>251</v>
      </c>
      <c r="M19" s="262">
        <v>13.836061959098176</v>
      </c>
      <c r="N19" s="207">
        <v>152</v>
      </c>
      <c r="O19" s="262">
        <v>13.678905687544997</v>
      </c>
      <c r="P19" s="207">
        <v>144</v>
      </c>
      <c r="Q19" s="262">
        <v>17.408123791102515</v>
      </c>
      <c r="R19" s="208">
        <v>2070</v>
      </c>
      <c r="S19" s="263">
        <v>13.103753877318477</v>
      </c>
      <c r="T19" s="207">
        <v>1016</v>
      </c>
      <c r="U19" s="262">
        <v>12.624411337119</v>
      </c>
      <c r="V19" s="207">
        <v>209</v>
      </c>
      <c r="W19" s="262">
        <v>11.797245427861821</v>
      </c>
      <c r="X19" s="207">
        <v>205</v>
      </c>
      <c r="Y19" s="262">
        <v>13.895478885650377</v>
      </c>
      <c r="Z19" s="207">
        <v>89</v>
      </c>
      <c r="AA19" s="262">
        <v>11.585524602967977</v>
      </c>
      <c r="AB19" s="207">
        <v>360</v>
      </c>
      <c r="AC19" s="262">
        <v>15.119697606047879</v>
      </c>
      <c r="AD19" s="207">
        <v>191</v>
      </c>
      <c r="AE19" s="262">
        <v>14.233549444817051</v>
      </c>
    </row>
    <row r="20" spans="1:31" ht="26.25" customHeight="1">
      <c r="A20" s="261">
        <v>2014</v>
      </c>
      <c r="B20" s="266"/>
      <c r="C20" s="262"/>
      <c r="D20" s="207"/>
      <c r="E20" s="267"/>
      <c r="F20" s="207">
        <f>+J20+L20+N20+P20+T20+V20+X20+Z20+AB20+AD20</f>
        <v>3753</v>
      </c>
      <c r="G20" s="262">
        <f>+F20/'7'!D20*1000</f>
        <v>13.698680137826315</v>
      </c>
      <c r="H20" s="208">
        <f>+J20+L20+N20+P20</f>
        <v>1561</v>
      </c>
      <c r="I20" s="263">
        <f>+H20/'7'!E20*1000</f>
        <v>13.457128571182261</v>
      </c>
      <c r="J20" s="207">
        <f>+[3]Consolidado!$B14</f>
        <v>1024</v>
      </c>
      <c r="K20" s="262">
        <f>+J20/'7'!F20*1000</f>
        <v>13.049074203866297</v>
      </c>
      <c r="L20" s="207">
        <f>+[3]Consolidado!$B15</f>
        <v>254</v>
      </c>
      <c r="M20" s="262">
        <f>+L20/'7'!G20*1000</f>
        <v>14.001433217573453</v>
      </c>
      <c r="N20" s="207">
        <f>+[3]Consolidado!$B16</f>
        <v>151</v>
      </c>
      <c r="O20" s="262">
        <f>+N20/'7'!H20*1000</f>
        <v>13.588912886969043</v>
      </c>
      <c r="P20" s="207">
        <f>+[3]Consolidado!$B17</f>
        <v>132</v>
      </c>
      <c r="Q20" s="262">
        <f>+P20/'7'!I20*1000</f>
        <v>15.957446808510637</v>
      </c>
      <c r="R20" s="208">
        <f>+T20+V20+X20+Z20+AB20+AD20</f>
        <v>2192</v>
      </c>
      <c r="S20" s="263">
        <f>+R20/'7'!J20*1000</f>
        <v>13.87605241501551</v>
      </c>
      <c r="T20" s="207">
        <f>+[3]Consolidado!$B19</f>
        <v>1101</v>
      </c>
      <c r="U20" s="262">
        <f>+T20/'7'!K20*1000</f>
        <v>13.680587482448837</v>
      </c>
      <c r="V20" s="207">
        <f>+[3]Consolidado!$B20</f>
        <v>194</v>
      </c>
      <c r="W20" s="262">
        <f>+V20/'7'!L20*1000</f>
        <v>10.950553172273651</v>
      </c>
      <c r="X20" s="207">
        <f>+[3]Consolidado!$B21</f>
        <v>193</v>
      </c>
      <c r="Y20" s="262">
        <f>+X20/'7'!M19*1000</f>
        <v>13.082084999661086</v>
      </c>
      <c r="Z20" s="207">
        <f>+[3]Consolidado!$B22</f>
        <v>115</v>
      </c>
      <c r="AA20" s="262">
        <f>+Z20/'7'!N20*1000</f>
        <v>14.970059880239521</v>
      </c>
      <c r="AB20" s="207">
        <f>+[3]Consolidado!$B23</f>
        <v>392</v>
      </c>
      <c r="AC20" s="262">
        <f>+AB20/'7'!O20*1000</f>
        <v>16.46367072658547</v>
      </c>
      <c r="AD20" s="207">
        <f>+[3]Consolidado!$B24</f>
        <v>197</v>
      </c>
      <c r="AE20" s="262">
        <f>+AD20/'7'!P20*1000</f>
        <v>14.680676652507639</v>
      </c>
    </row>
    <row r="21" spans="1:31">
      <c r="A21" s="268"/>
      <c r="B21" s="210"/>
      <c r="C21" s="269"/>
      <c r="D21" s="210"/>
      <c r="E21" s="269"/>
      <c r="F21" s="216"/>
      <c r="G21" s="269"/>
      <c r="H21" s="270"/>
      <c r="I21" s="270"/>
      <c r="J21" s="210"/>
      <c r="K21" s="269"/>
      <c r="L21" s="210"/>
      <c r="M21" s="269"/>
      <c r="N21" s="210"/>
      <c r="O21" s="269"/>
      <c r="P21" s="210"/>
      <c r="Q21" s="269"/>
      <c r="R21" s="270"/>
      <c r="S21" s="270"/>
      <c r="T21" s="210"/>
      <c r="U21" s="269"/>
      <c r="V21" s="210"/>
      <c r="W21" s="269"/>
      <c r="X21" s="210"/>
      <c r="Y21" s="269"/>
      <c r="Z21" s="210"/>
      <c r="AA21" s="269"/>
      <c r="AB21" s="210"/>
      <c r="AC21" s="269"/>
      <c r="AD21" s="270"/>
      <c r="AE21" s="269"/>
    </row>
    <row r="22" spans="1:31">
      <c r="A22" s="217"/>
      <c r="B22" s="221" t="s">
        <v>1464</v>
      </c>
      <c r="D22" s="271"/>
      <c r="E22" s="217"/>
      <c r="F22" s="217"/>
      <c r="G22" s="217"/>
      <c r="H22" s="217"/>
      <c r="I22" s="217"/>
      <c r="J22" s="217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</row>
    <row r="23" spans="1:31">
      <c r="A23" s="217"/>
      <c r="B23" s="217"/>
      <c r="C23" s="221" t="s">
        <v>1367</v>
      </c>
      <c r="D23" s="221"/>
      <c r="E23" s="217"/>
      <c r="F23" s="217"/>
      <c r="G23" s="217"/>
      <c r="H23" s="217"/>
      <c r="I23" s="217"/>
      <c r="J23" s="217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</row>
    <row r="24" spans="1:31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</row>
  </sheetData>
  <phoneticPr fontId="19" type="noConversion"/>
  <pageMargins left="0.59055118110236227" right="0.59055118110236227" top="1.5748031496062993" bottom="0.78740157480314965" header="0.51181102362204722" footer="0.51181102362204722"/>
  <pageSetup paperSize="5" scale="90" orientation="landscape" horizontalDpi="300" verticalDpi="300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25"/>
  <sheetViews>
    <sheetView topLeftCell="A12" workbookViewId="0">
      <selection activeCell="I11" sqref="I11"/>
    </sheetView>
  </sheetViews>
  <sheetFormatPr baseColWidth="10" defaultRowHeight="12.75"/>
  <cols>
    <col min="1" max="1" width="6.140625" customWidth="1"/>
    <col min="2" max="2" width="5.7109375" customWidth="1"/>
    <col min="3" max="3" width="7" customWidth="1"/>
    <col min="4" max="4" width="4.7109375" customWidth="1"/>
    <col min="5" max="7" width="6.140625" customWidth="1"/>
    <col min="8" max="9" width="5.7109375" customWidth="1"/>
    <col min="10" max="10" width="4.140625" customWidth="1"/>
    <col min="11" max="11" width="6" customWidth="1"/>
    <col min="12" max="12" width="3.7109375" customWidth="1"/>
    <col min="13" max="13" width="5.85546875" customWidth="1"/>
    <col min="14" max="14" width="3.85546875" customWidth="1"/>
    <col min="15" max="15" width="5.7109375" customWidth="1"/>
    <col min="16" max="16" width="4.42578125" customWidth="1"/>
    <col min="17" max="17" width="5.140625" customWidth="1"/>
    <col min="18" max="18" width="5.28515625" customWidth="1"/>
    <col min="19" max="19" width="5.85546875" customWidth="1"/>
    <col min="20" max="20" width="4.28515625" customWidth="1"/>
    <col min="21" max="21" width="6.42578125" customWidth="1"/>
    <col min="22" max="22" width="4" customWidth="1"/>
    <col min="23" max="23" width="6.42578125" customWidth="1"/>
    <col min="24" max="24" width="4" customWidth="1"/>
    <col min="25" max="25" width="6.42578125" customWidth="1"/>
    <col min="26" max="26" width="4.140625" customWidth="1"/>
    <col min="27" max="27" width="5.85546875" customWidth="1"/>
    <col min="28" max="28" width="4.140625" customWidth="1"/>
    <col min="29" max="29" width="5.7109375" customWidth="1"/>
    <col min="30" max="30" width="4.140625" customWidth="1"/>
    <col min="31" max="31" width="5.7109375" customWidth="1"/>
  </cols>
  <sheetData>
    <row r="1" spans="1:31">
      <c r="A1" s="149" t="s">
        <v>738</v>
      </c>
      <c r="B1" s="149"/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  <c r="N1" s="149"/>
      <c r="O1" s="149"/>
      <c r="P1" s="149"/>
      <c r="Q1" s="149"/>
      <c r="R1" s="149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</row>
    <row r="2" spans="1:31">
      <c r="A2" s="149"/>
      <c r="B2" s="149"/>
      <c r="C2" s="149"/>
      <c r="D2" s="149"/>
      <c r="E2" s="149"/>
      <c r="F2" s="149"/>
      <c r="G2" s="149"/>
      <c r="H2" s="149"/>
      <c r="I2" s="149"/>
      <c r="J2" s="149"/>
      <c r="K2" s="149"/>
      <c r="L2" s="149"/>
      <c r="M2" s="149"/>
      <c r="N2" s="149"/>
      <c r="O2" s="149"/>
      <c r="P2" s="149"/>
      <c r="Q2" s="149"/>
      <c r="R2" s="149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</row>
    <row r="3" spans="1:31">
      <c r="A3" s="149" t="str">
        <f>+'17'!A3</f>
        <v>AÑOS   2005  - 2014</v>
      </c>
      <c r="B3" s="149"/>
      <c r="C3" s="149"/>
      <c r="D3" s="149"/>
      <c r="E3" s="149"/>
      <c r="F3" s="149"/>
      <c r="G3" s="149"/>
      <c r="H3" s="149"/>
      <c r="I3" s="149"/>
      <c r="J3" s="149"/>
      <c r="K3" s="149"/>
      <c r="L3" s="149"/>
      <c r="M3" s="149"/>
      <c r="N3" s="149"/>
      <c r="O3" s="149"/>
      <c r="P3" s="149"/>
      <c r="Q3" s="149"/>
      <c r="R3" s="149"/>
      <c r="S3" s="117"/>
      <c r="T3" s="117"/>
      <c r="U3" s="117"/>
      <c r="V3" s="117"/>
      <c r="W3" s="117"/>
      <c r="X3" s="117"/>
      <c r="Y3" s="117"/>
      <c r="Z3" s="117"/>
      <c r="AA3" s="117"/>
      <c r="AB3" s="117"/>
      <c r="AC3" s="117"/>
      <c r="AD3" s="117"/>
      <c r="AE3" s="117"/>
    </row>
    <row r="4" spans="1:31">
      <c r="A4" s="117"/>
      <c r="B4" s="117"/>
      <c r="C4" s="117"/>
      <c r="D4" s="117"/>
      <c r="E4" s="117"/>
      <c r="F4" s="117"/>
      <c r="G4" s="117"/>
      <c r="H4" s="117"/>
      <c r="I4" s="117"/>
      <c r="J4" s="117"/>
      <c r="K4" s="117"/>
      <c r="L4" s="117"/>
      <c r="M4" s="117"/>
      <c r="N4" s="117"/>
      <c r="O4" s="117"/>
      <c r="P4" s="117"/>
      <c r="Q4" s="117"/>
      <c r="R4" s="117"/>
      <c r="S4" s="117"/>
      <c r="T4" s="117"/>
      <c r="U4" s="117"/>
      <c r="V4" s="117"/>
      <c r="W4" s="117"/>
      <c r="X4" s="117"/>
      <c r="Y4" s="117"/>
      <c r="Z4" s="117"/>
      <c r="AA4" s="117"/>
      <c r="AB4" s="117"/>
      <c r="AC4" s="117"/>
      <c r="AD4" s="117"/>
      <c r="AE4" s="117"/>
    </row>
    <row r="5" spans="1:31">
      <c r="A5" s="1"/>
      <c r="B5" s="117"/>
      <c r="C5" s="117"/>
      <c r="D5" s="117"/>
      <c r="E5" s="117"/>
      <c r="F5" s="117"/>
      <c r="G5" s="117"/>
      <c r="H5" s="117"/>
      <c r="I5" s="117"/>
      <c r="J5" s="117"/>
      <c r="K5" s="117"/>
      <c r="L5" s="117"/>
      <c r="M5" s="117"/>
      <c r="N5" s="117"/>
      <c r="O5" s="117"/>
      <c r="P5" s="117"/>
      <c r="Q5" s="117"/>
      <c r="R5" s="117"/>
      <c r="S5" s="117"/>
      <c r="T5" s="117"/>
      <c r="U5" s="117"/>
      <c r="V5" s="117"/>
      <c r="W5" s="117"/>
      <c r="X5" s="117"/>
      <c r="Y5" s="117"/>
      <c r="Z5" s="117"/>
      <c r="AA5" s="117"/>
      <c r="AB5" s="117"/>
      <c r="AC5" s="117"/>
      <c r="AD5" s="117"/>
      <c r="AE5" s="117"/>
    </row>
    <row r="6" spans="1:31" ht="18.75" customHeight="1">
      <c r="A6" s="195"/>
      <c r="B6" s="194"/>
      <c r="C6" s="189"/>
      <c r="D6" s="194"/>
      <c r="E6" s="189"/>
      <c r="F6" s="194"/>
      <c r="G6" s="189"/>
      <c r="H6" s="246"/>
      <c r="I6" s="87"/>
      <c r="J6" s="122" t="s">
        <v>708</v>
      </c>
      <c r="K6" s="122"/>
      <c r="L6" s="122"/>
      <c r="M6" s="122"/>
      <c r="N6" s="122"/>
      <c r="O6" s="122"/>
      <c r="P6" s="122"/>
      <c r="Q6" s="122"/>
      <c r="R6" s="122"/>
      <c r="S6" s="122"/>
      <c r="T6" s="122"/>
      <c r="U6" s="122"/>
      <c r="V6" s="122"/>
      <c r="W6" s="122"/>
      <c r="X6" s="122"/>
      <c r="Y6" s="122"/>
      <c r="Z6" s="122"/>
      <c r="AA6" s="122"/>
      <c r="AB6" s="122"/>
      <c r="AC6" s="122"/>
      <c r="AD6" s="87"/>
      <c r="AE6" s="88"/>
    </row>
    <row r="7" spans="1:31">
      <c r="A7" s="190"/>
      <c r="B7" s="191"/>
      <c r="C7" s="248"/>
      <c r="D7" s="191"/>
      <c r="E7" s="272"/>
      <c r="F7" s="217" t="s">
        <v>716</v>
      </c>
      <c r="G7" s="217"/>
      <c r="H7" s="187" t="s">
        <v>717</v>
      </c>
      <c r="I7" s="249"/>
      <c r="J7" s="250"/>
      <c r="K7" s="251"/>
      <c r="L7" s="250"/>
      <c r="M7" s="251"/>
      <c r="N7" s="250"/>
      <c r="O7" s="251"/>
      <c r="P7" s="250"/>
      <c r="Q7" s="251"/>
      <c r="R7" s="187" t="s">
        <v>717</v>
      </c>
      <c r="S7" s="249"/>
      <c r="T7" s="250"/>
      <c r="U7" s="251"/>
      <c r="V7" s="250"/>
      <c r="W7" s="251"/>
      <c r="X7" s="250"/>
      <c r="Y7" s="251"/>
      <c r="Z7" s="221"/>
      <c r="AA7" s="251"/>
      <c r="AB7" s="250"/>
      <c r="AC7" s="251"/>
      <c r="AD7" s="250"/>
      <c r="AE7" s="251"/>
    </row>
    <row r="8" spans="1:31" ht="19.5" customHeight="1">
      <c r="A8" s="252" t="s">
        <v>709</v>
      </c>
      <c r="B8" s="204" t="s">
        <v>714</v>
      </c>
      <c r="C8" s="204"/>
      <c r="D8" s="204" t="s">
        <v>715</v>
      </c>
      <c r="E8" s="253"/>
      <c r="F8" s="204" t="s">
        <v>718</v>
      </c>
      <c r="G8" s="253"/>
      <c r="H8" s="204" t="s">
        <v>699</v>
      </c>
      <c r="I8" s="253"/>
      <c r="J8" s="204" t="s">
        <v>699</v>
      </c>
      <c r="K8" s="253"/>
      <c r="L8" s="254" t="s">
        <v>480</v>
      </c>
      <c r="M8" s="255"/>
      <c r="N8" s="204" t="s">
        <v>720</v>
      </c>
      <c r="O8" s="253"/>
      <c r="P8" s="204" t="s">
        <v>483</v>
      </c>
      <c r="Q8" s="253"/>
      <c r="R8" s="204" t="s">
        <v>721</v>
      </c>
      <c r="S8" s="253"/>
      <c r="T8" s="204" t="s">
        <v>721</v>
      </c>
      <c r="U8" s="253"/>
      <c r="V8" s="204" t="s">
        <v>445</v>
      </c>
      <c r="W8" s="253"/>
      <c r="X8" s="204" t="s">
        <v>463</v>
      </c>
      <c r="Y8" s="253"/>
      <c r="Z8" s="204" t="s">
        <v>468</v>
      </c>
      <c r="AA8" s="253"/>
      <c r="AB8" s="204" t="s">
        <v>722</v>
      </c>
      <c r="AC8" s="253"/>
      <c r="AD8" s="204" t="s">
        <v>470</v>
      </c>
      <c r="AE8" s="253"/>
    </row>
    <row r="9" spans="1:31" ht="19.5" customHeight="1">
      <c r="A9" s="256"/>
      <c r="B9" s="257" t="s">
        <v>736</v>
      </c>
      <c r="C9" s="259" t="s">
        <v>737</v>
      </c>
      <c r="D9" s="257" t="s">
        <v>736</v>
      </c>
      <c r="E9" s="259" t="s">
        <v>737</v>
      </c>
      <c r="F9" s="257" t="s">
        <v>736</v>
      </c>
      <c r="G9" s="259" t="s">
        <v>737</v>
      </c>
      <c r="H9" s="257" t="s">
        <v>736</v>
      </c>
      <c r="I9" s="258" t="s">
        <v>737</v>
      </c>
      <c r="J9" s="257" t="s">
        <v>736</v>
      </c>
      <c r="K9" s="258" t="s">
        <v>737</v>
      </c>
      <c r="L9" s="257" t="s">
        <v>736</v>
      </c>
      <c r="M9" s="259" t="s">
        <v>737</v>
      </c>
      <c r="N9" s="257" t="s">
        <v>736</v>
      </c>
      <c r="O9" s="259" t="s">
        <v>737</v>
      </c>
      <c r="P9" s="257" t="s">
        <v>736</v>
      </c>
      <c r="Q9" s="259" t="s">
        <v>737</v>
      </c>
      <c r="R9" s="257" t="s">
        <v>736</v>
      </c>
      <c r="S9" s="258" t="s">
        <v>737</v>
      </c>
      <c r="T9" s="257" t="s">
        <v>736</v>
      </c>
      <c r="U9" s="259" t="s">
        <v>737</v>
      </c>
      <c r="V9" s="257" t="s">
        <v>736</v>
      </c>
      <c r="W9" s="259" t="s">
        <v>737</v>
      </c>
      <c r="X9" s="257" t="s">
        <v>736</v>
      </c>
      <c r="Y9" s="259" t="s">
        <v>737</v>
      </c>
      <c r="Z9" s="257" t="s">
        <v>736</v>
      </c>
      <c r="AA9" s="259" t="s">
        <v>737</v>
      </c>
      <c r="AB9" s="257" t="s">
        <v>736</v>
      </c>
      <c r="AC9" s="259" t="s">
        <v>737</v>
      </c>
      <c r="AD9" s="257" t="s">
        <v>736</v>
      </c>
      <c r="AE9" s="259" t="s">
        <v>737</v>
      </c>
    </row>
    <row r="10" spans="1:31">
      <c r="A10" s="186"/>
      <c r="B10" s="187"/>
      <c r="C10" s="249"/>
      <c r="D10" s="187"/>
      <c r="E10" s="249"/>
      <c r="F10" s="187"/>
      <c r="G10" s="249"/>
      <c r="H10" s="260"/>
      <c r="I10" s="260"/>
      <c r="J10" s="187"/>
      <c r="K10" s="249"/>
      <c r="L10" s="187"/>
      <c r="M10" s="249"/>
      <c r="N10" s="187"/>
      <c r="O10" s="249"/>
      <c r="P10" s="187"/>
      <c r="Q10" s="249"/>
      <c r="R10" s="273"/>
      <c r="S10" s="273"/>
      <c r="T10" s="187"/>
      <c r="U10" s="249"/>
      <c r="V10" s="187"/>
      <c r="W10" s="249"/>
      <c r="X10" s="187"/>
      <c r="Y10" s="249"/>
      <c r="Z10" s="187"/>
      <c r="AA10" s="249"/>
      <c r="AB10" s="187"/>
      <c r="AC10" s="249"/>
      <c r="AD10" s="260"/>
      <c r="AE10" s="249"/>
    </row>
    <row r="11" spans="1:31" ht="24.75" customHeight="1">
      <c r="A11" s="261">
        <f>+'17'!A11</f>
        <v>2005</v>
      </c>
      <c r="B11" s="266"/>
      <c r="C11" s="274"/>
      <c r="D11" s="207"/>
      <c r="E11" s="274"/>
      <c r="F11" s="207">
        <f t="shared" ref="F11:F16" si="0">+J11+L11+N11+P11+T11+V11+X11+Z11+AB11+AD11</f>
        <v>55</v>
      </c>
      <c r="G11" s="262">
        <f>+F11/'17'!F11*1000</f>
        <v>14.965986394557822</v>
      </c>
      <c r="H11" s="208">
        <f t="shared" ref="H11:H16" si="1">+J11+L11+N11+P11</f>
        <v>14</v>
      </c>
      <c r="I11" s="274">
        <f>+H11/'17'!H11*1000</f>
        <v>9.1863517060367457</v>
      </c>
      <c r="J11" s="207">
        <v>7</v>
      </c>
      <c r="K11" s="274">
        <f>+J11/'17'!J11*1000</f>
        <v>6.7307692307692308</v>
      </c>
      <c r="L11" s="264">
        <v>3</v>
      </c>
      <c r="M11" s="274">
        <f>+L11/'17'!L11*1000</f>
        <v>13.82488479262673</v>
      </c>
      <c r="N11" s="264">
        <v>1</v>
      </c>
      <c r="O11" s="274">
        <f>+N11/'17'!N11*1000</f>
        <v>6.7114093959731544</v>
      </c>
      <c r="P11" s="264">
        <v>3</v>
      </c>
      <c r="Q11" s="262">
        <f>+P11/'17'!P11*1000</f>
        <v>25.423728813559325</v>
      </c>
      <c r="R11" s="208">
        <f t="shared" ref="R11:R16" si="2">+T11+V11+X11+Z11+AB11+AD11</f>
        <v>41</v>
      </c>
      <c r="S11" s="274">
        <f>+R11/'17'!R11*1000</f>
        <v>19.060901906090191</v>
      </c>
      <c r="T11" s="207">
        <v>23</v>
      </c>
      <c r="U11" s="274">
        <f>+T11/'17'!T11*1000</f>
        <v>19.965277777777775</v>
      </c>
      <c r="V11" s="264">
        <v>5</v>
      </c>
      <c r="W11" s="274">
        <f>+V11/'17'!V11*1000</f>
        <v>28.409090909090907</v>
      </c>
      <c r="X11" s="264">
        <v>3</v>
      </c>
      <c r="Y11" s="274">
        <f>+X11/'17'!X11*1000</f>
        <v>16.949152542372882</v>
      </c>
      <c r="Z11" s="264">
        <v>3</v>
      </c>
      <c r="AA11" s="274">
        <f>+Z11/'17'!Z11*1000</f>
        <v>26.086956521739129</v>
      </c>
      <c r="AB11" s="264">
        <v>6</v>
      </c>
      <c r="AC11" s="262">
        <f>+AB11/'17'!AB11*1000</f>
        <v>18.348623853211009</v>
      </c>
      <c r="AD11" s="265">
        <v>1</v>
      </c>
      <c r="AE11" s="262">
        <f>+AD11/'17'!AD11*1000</f>
        <v>4.9019607843137258</v>
      </c>
    </row>
    <row r="12" spans="1:31" ht="24.75" customHeight="1">
      <c r="A12" s="261">
        <f>+'17'!A12</f>
        <v>2006</v>
      </c>
      <c r="B12" s="266"/>
      <c r="C12" s="274"/>
      <c r="D12" s="207"/>
      <c r="E12" s="274"/>
      <c r="F12" s="207">
        <f t="shared" si="0"/>
        <v>40</v>
      </c>
      <c r="G12" s="262">
        <f>+F12/'17'!F12*1000</f>
        <v>11.305822498586773</v>
      </c>
      <c r="H12" s="208">
        <f t="shared" si="1"/>
        <v>18</v>
      </c>
      <c r="I12" s="274">
        <f>+H12/'17'!H12*1000</f>
        <v>12.756909992912828</v>
      </c>
      <c r="J12" s="207">
        <v>12</v>
      </c>
      <c r="K12" s="274">
        <f>+J12/'17'!J12*1000</f>
        <v>12.889366272824921</v>
      </c>
      <c r="L12" s="207">
        <v>3</v>
      </c>
      <c r="M12" s="274">
        <f>+L12/'17'!L12*1000</f>
        <v>13.274336283185841</v>
      </c>
      <c r="N12" s="207">
        <v>2</v>
      </c>
      <c r="O12" s="274">
        <f>+N12/'17'!N12*1000</f>
        <v>13.245033112582782</v>
      </c>
      <c r="P12" s="207">
        <v>1</v>
      </c>
      <c r="Q12" s="262">
        <f>+P12/'17'!P12*1000</f>
        <v>9.7087378640776691</v>
      </c>
      <c r="R12" s="208">
        <f t="shared" si="2"/>
        <v>22</v>
      </c>
      <c r="S12" s="274">
        <f>+R12/'17'!R12*1000</f>
        <v>10.343206393982134</v>
      </c>
      <c r="T12" s="207">
        <v>16</v>
      </c>
      <c r="U12" s="274">
        <f>+T12/'17'!T12*1000</f>
        <v>14.260249554367201</v>
      </c>
      <c r="V12" s="207">
        <v>3</v>
      </c>
      <c r="W12" s="274">
        <f>+V12/'17'!V12*1000</f>
        <v>15.873015873015872</v>
      </c>
      <c r="X12" s="207">
        <v>0</v>
      </c>
      <c r="Y12" s="274">
        <f>+X12/'17'!X12*1000</f>
        <v>0</v>
      </c>
      <c r="Z12" s="207">
        <v>0</v>
      </c>
      <c r="AA12" s="274">
        <f>+Z12/'17'!Z12*1000</f>
        <v>0</v>
      </c>
      <c r="AB12" s="207">
        <v>2</v>
      </c>
      <c r="AC12" s="262">
        <f>+AB12/'17'!AB12*1000</f>
        <v>5.9523809523809517</v>
      </c>
      <c r="AD12" s="208">
        <v>1</v>
      </c>
      <c r="AE12" s="262">
        <f>+AD12/'17'!AD12*1000</f>
        <v>5.1546391752577323</v>
      </c>
    </row>
    <row r="13" spans="1:31" ht="24.75" customHeight="1">
      <c r="A13" s="261">
        <f>+'17'!A13</f>
        <v>2007</v>
      </c>
      <c r="B13" s="266"/>
      <c r="C13" s="274"/>
      <c r="D13" s="207"/>
      <c r="E13" s="274"/>
      <c r="F13" s="207">
        <f t="shared" si="0"/>
        <v>58</v>
      </c>
      <c r="G13" s="262">
        <f>+F13/'17'!F13*1000</f>
        <v>16.066481994459835</v>
      </c>
      <c r="H13" s="208">
        <f t="shared" si="1"/>
        <v>17</v>
      </c>
      <c r="I13" s="274">
        <f>+H13/'17'!H13*1000</f>
        <v>11.789181692094314</v>
      </c>
      <c r="J13" s="207">
        <v>11</v>
      </c>
      <c r="K13" s="274">
        <f>+J13/'17'!J13*1000</f>
        <v>11.201629327902239</v>
      </c>
      <c r="L13" s="207">
        <v>4</v>
      </c>
      <c r="M13" s="274">
        <f>+L13/'17'!L13*1000</f>
        <v>19.047619047619051</v>
      </c>
      <c r="N13" s="207">
        <v>1</v>
      </c>
      <c r="O13" s="274">
        <f>+N13/'17'!N13*1000</f>
        <v>6.666666666666667</v>
      </c>
      <c r="P13" s="207">
        <v>1</v>
      </c>
      <c r="Q13" s="262">
        <f>+P13/'17'!P13*1000</f>
        <v>10</v>
      </c>
      <c r="R13" s="208">
        <f t="shared" si="2"/>
        <v>41</v>
      </c>
      <c r="S13" s="274">
        <f>+R13/'17'!R13*1000</f>
        <v>18.911439114391143</v>
      </c>
      <c r="T13" s="207">
        <v>30</v>
      </c>
      <c r="U13" s="274">
        <f>+T13/'17'!T13*1000</f>
        <v>24.834437086092713</v>
      </c>
      <c r="V13" s="207">
        <v>3</v>
      </c>
      <c r="W13" s="274">
        <f>+V13/'17'!V13*1000</f>
        <v>15.789473684210527</v>
      </c>
      <c r="X13" s="207">
        <v>3</v>
      </c>
      <c r="Y13" s="274">
        <f>+X13/'17'!X13*1000</f>
        <v>14.925373134328359</v>
      </c>
      <c r="Z13" s="207">
        <v>1</v>
      </c>
      <c r="AA13" s="274">
        <f>+Z13/'17'!Z13*1000</f>
        <v>11.363636363636363</v>
      </c>
      <c r="AB13" s="207">
        <v>4</v>
      </c>
      <c r="AC13" s="262">
        <f>+AB13/'17'!AB13*1000</f>
        <v>13.029315960912053</v>
      </c>
      <c r="AD13" s="208">
        <v>0</v>
      </c>
      <c r="AE13" s="262">
        <f>+AD13/'17'!AD13*1000</f>
        <v>0</v>
      </c>
    </row>
    <row r="14" spans="1:31" ht="24.75" customHeight="1">
      <c r="A14" s="261">
        <f>+'17'!A14</f>
        <v>2008</v>
      </c>
      <c r="B14" s="266"/>
      <c r="C14" s="274"/>
      <c r="D14" s="207"/>
      <c r="E14" s="274"/>
      <c r="F14" s="207">
        <f t="shared" si="0"/>
        <v>52</v>
      </c>
      <c r="G14" s="262">
        <f>+F14/'17'!F14*1000</f>
        <v>14.180529042814289</v>
      </c>
      <c r="H14" s="208">
        <f t="shared" si="1"/>
        <v>22</v>
      </c>
      <c r="I14" s="274">
        <f>+H14/'17'!H14*1000</f>
        <v>14.93550577053632</v>
      </c>
      <c r="J14" s="207">
        <v>16</v>
      </c>
      <c r="K14" s="274">
        <f>+J14/'17'!J14*1000</f>
        <v>16.580310880829014</v>
      </c>
      <c r="L14" s="207">
        <v>2</v>
      </c>
      <c r="M14" s="274">
        <f>+L14/'17'!L14*1000</f>
        <v>8.1967213114754109</v>
      </c>
      <c r="N14" s="207">
        <v>2</v>
      </c>
      <c r="O14" s="274">
        <f>+N14/'17'!N14*1000</f>
        <v>13.157894736842104</v>
      </c>
      <c r="P14" s="207">
        <v>2</v>
      </c>
      <c r="Q14" s="262">
        <f>+P14/'17'!P14*1000</f>
        <v>17.857142857142858</v>
      </c>
      <c r="R14" s="208">
        <f t="shared" si="2"/>
        <v>30</v>
      </c>
      <c r="S14" s="274">
        <f>+R14/'17'!R14*1000</f>
        <v>13.67365542388332</v>
      </c>
      <c r="T14" s="207">
        <v>20</v>
      </c>
      <c r="U14" s="274">
        <f>+T14/'17'!T14*1000</f>
        <v>16.778523489932887</v>
      </c>
      <c r="V14" s="207">
        <v>3</v>
      </c>
      <c r="W14" s="274">
        <f>+V14/'17'!V14*1000</f>
        <v>15</v>
      </c>
      <c r="X14" s="207">
        <v>5</v>
      </c>
      <c r="Y14" s="274">
        <f>+X14/'17'!X14*1000</f>
        <v>30.487804878048781</v>
      </c>
      <c r="Z14" s="207">
        <v>0</v>
      </c>
      <c r="AA14" s="274">
        <f>+Z14/'17'!Z14*1000</f>
        <v>0</v>
      </c>
      <c r="AB14" s="207">
        <v>1</v>
      </c>
      <c r="AC14" s="274">
        <f>+AB14/'17'!AB14*1000</f>
        <v>3.1545741324921135</v>
      </c>
      <c r="AD14" s="207">
        <v>1</v>
      </c>
      <c r="AE14" s="262">
        <f>+AD14/'17'!AD14*1000</f>
        <v>5.1282051282051286</v>
      </c>
    </row>
    <row r="15" spans="1:31" ht="24.75" customHeight="1">
      <c r="A15" s="261">
        <f>+'17'!A15</f>
        <v>2009</v>
      </c>
      <c r="B15" s="266">
        <v>2252</v>
      </c>
      <c r="C15" s="262">
        <f>+B15/'17'!B15*1000</f>
        <v>8.9280050745321926</v>
      </c>
      <c r="D15" s="207">
        <v>154</v>
      </c>
      <c r="E15" s="262">
        <f>+D15/'17'!D15*1000</f>
        <v>6.488308405308616</v>
      </c>
      <c r="F15" s="207">
        <f t="shared" si="0"/>
        <v>33</v>
      </c>
      <c r="G15" s="262">
        <f>+F15/'17'!F15*1000</f>
        <v>8.9141004862236635</v>
      </c>
      <c r="H15" s="208">
        <f t="shared" si="1"/>
        <v>12</v>
      </c>
      <c r="I15" s="274">
        <f>+H15/'17'!H15*1000</f>
        <v>7.8226857887874841</v>
      </c>
      <c r="J15" s="207">
        <v>11</v>
      </c>
      <c r="K15" s="274">
        <f>+J15/'17'!J15*1000</f>
        <v>11.167512690355329</v>
      </c>
      <c r="L15" s="264">
        <v>0</v>
      </c>
      <c r="M15" s="274">
        <f>+L15/'17'!L15*1000</f>
        <v>0</v>
      </c>
      <c r="N15" s="207">
        <v>1</v>
      </c>
      <c r="O15" s="274">
        <f>+N15/'17'!N15*1000</f>
        <v>6.4102564102564097</v>
      </c>
      <c r="P15" s="264">
        <v>0</v>
      </c>
      <c r="Q15" s="262">
        <f>+P15/'17'!P15*1000</f>
        <v>0</v>
      </c>
      <c r="R15" s="208">
        <f t="shared" si="2"/>
        <v>21</v>
      </c>
      <c r="S15" s="274">
        <f>+R15/'17'!R15*1000</f>
        <v>9.6863468634686356</v>
      </c>
      <c r="T15" s="207">
        <v>13</v>
      </c>
      <c r="U15" s="274">
        <f>+T15/'17'!T15*1000</f>
        <v>11.120615911035072</v>
      </c>
      <c r="V15" s="207">
        <v>1</v>
      </c>
      <c r="W15" s="274">
        <f>+V15/'17'!V15*1000</f>
        <v>4.9261083743842367</v>
      </c>
      <c r="X15" s="207">
        <v>3</v>
      </c>
      <c r="Y15" s="274">
        <f>+X15/'17'!X15*1000</f>
        <v>17.647058823529413</v>
      </c>
      <c r="Z15" s="207">
        <v>1</v>
      </c>
      <c r="AA15" s="274">
        <f>+Z15/'17'!Z15*1000</f>
        <v>9.9009900990099009</v>
      </c>
      <c r="AB15" s="207">
        <v>3</v>
      </c>
      <c r="AC15" s="274">
        <f>+AB15/'17'!AB15*1000</f>
        <v>8.720930232558139</v>
      </c>
      <c r="AD15" s="264">
        <v>0</v>
      </c>
      <c r="AE15" s="262">
        <f>+AD15/'17'!AD15*1000</f>
        <v>0</v>
      </c>
    </row>
    <row r="16" spans="1:31" ht="24.75" customHeight="1">
      <c r="A16" s="261">
        <f>+'17'!A16</f>
        <v>2010</v>
      </c>
      <c r="B16" s="266">
        <v>2166</v>
      </c>
      <c r="C16" s="262">
        <f>+B16/'17'!B16*1000</f>
        <v>8.6226457907873826</v>
      </c>
      <c r="D16" s="207">
        <v>184</v>
      </c>
      <c r="E16" s="262">
        <f>+D16/'17'!D16*1000</f>
        <v>7.7246011754827872</v>
      </c>
      <c r="F16" s="207">
        <f t="shared" si="0"/>
        <v>30</v>
      </c>
      <c r="G16" s="262">
        <f>+F16/'17'!F16*1000</f>
        <v>7.6413652572592969</v>
      </c>
      <c r="H16" s="208">
        <f t="shared" si="1"/>
        <v>11</v>
      </c>
      <c r="I16" s="274">
        <f>+H16/'17'!H16*1000</f>
        <v>6.6225165562913908</v>
      </c>
      <c r="J16" s="207">
        <v>8</v>
      </c>
      <c r="K16" s="274">
        <f>+J16/'17'!J16*1000</f>
        <v>7.5258701787394173</v>
      </c>
      <c r="L16" s="207">
        <v>1</v>
      </c>
      <c r="M16" s="274">
        <f>+L16/'17'!L16*1000</f>
        <v>4.0160642570281118</v>
      </c>
      <c r="N16" s="264">
        <v>0</v>
      </c>
      <c r="O16" s="274">
        <f>+N16/'17'!N16*1000</f>
        <v>0</v>
      </c>
      <c r="P16" s="207">
        <v>2</v>
      </c>
      <c r="Q16" s="262">
        <f>+P16/'17'!P16*1000</f>
        <v>12.269938650306749</v>
      </c>
      <c r="R16" s="208">
        <f t="shared" si="2"/>
        <v>19</v>
      </c>
      <c r="S16" s="274">
        <f>+R16/'17'!R16*1000</f>
        <v>8.3885209713024285</v>
      </c>
      <c r="T16" s="207">
        <v>13</v>
      </c>
      <c r="U16" s="274">
        <f>+T16/'17'!T16*1000</f>
        <v>10.682004930156122</v>
      </c>
      <c r="V16" s="264">
        <v>0</v>
      </c>
      <c r="W16" s="274">
        <f>+V16/'17'!V16*1000</f>
        <v>0</v>
      </c>
      <c r="X16" s="207">
        <v>3</v>
      </c>
      <c r="Y16" s="274">
        <f>+X16/'17'!X16*1000</f>
        <v>15.544041450777202</v>
      </c>
      <c r="Z16" s="264">
        <v>0</v>
      </c>
      <c r="AA16" s="274">
        <f>+Z16/'17'!Z16*1000</f>
        <v>0</v>
      </c>
      <c r="AB16" s="207">
        <v>2</v>
      </c>
      <c r="AC16" s="274">
        <f>+AB16/'17'!AB16*1000</f>
        <v>6.0606060606060606</v>
      </c>
      <c r="AD16" s="207">
        <v>1</v>
      </c>
      <c r="AE16" s="262">
        <f>+AD16/'17'!AD16*1000</f>
        <v>4.3478260869565215</v>
      </c>
    </row>
    <row r="17" spans="1:31" ht="24.75" customHeight="1">
      <c r="A17" s="261">
        <f>+'17'!A17</f>
        <v>2011</v>
      </c>
      <c r="B17" s="266">
        <v>2098</v>
      </c>
      <c r="C17" s="262">
        <f>+B17/'17'!B17*1000</f>
        <v>8.42979921970114</v>
      </c>
      <c r="D17" s="207">
        <v>180</v>
      </c>
      <c r="E17" s="262">
        <f>+D17/'17'!D17*1000</f>
        <v>7.5968599645479866</v>
      </c>
      <c r="F17" s="207"/>
      <c r="G17" s="262"/>
      <c r="H17" s="208"/>
      <c r="I17" s="274"/>
      <c r="J17" s="207"/>
      <c r="K17" s="274"/>
      <c r="L17" s="207"/>
      <c r="M17" s="274"/>
      <c r="N17" s="264"/>
      <c r="O17" s="274"/>
      <c r="P17" s="207"/>
      <c r="Q17" s="262"/>
      <c r="R17" s="208"/>
      <c r="S17" s="274"/>
      <c r="T17" s="207"/>
      <c r="U17" s="274"/>
      <c r="V17" s="264"/>
      <c r="W17" s="274"/>
      <c r="X17" s="207"/>
      <c r="Y17" s="274"/>
      <c r="Z17" s="264"/>
      <c r="AA17" s="274"/>
      <c r="AB17" s="207"/>
      <c r="AC17" s="274"/>
      <c r="AD17" s="207"/>
      <c r="AE17" s="262"/>
    </row>
    <row r="18" spans="1:31" ht="24.75" customHeight="1">
      <c r="A18" s="261">
        <f>+'17'!A18</f>
        <v>2012</v>
      </c>
      <c r="B18" s="266"/>
      <c r="C18" s="262"/>
      <c r="D18" s="207"/>
      <c r="E18" s="262"/>
      <c r="F18" s="207"/>
      <c r="G18" s="262"/>
      <c r="H18" s="208"/>
      <c r="I18" s="274"/>
      <c r="J18" s="207"/>
      <c r="K18" s="274"/>
      <c r="L18" s="207"/>
      <c r="M18" s="274"/>
      <c r="N18" s="264"/>
      <c r="O18" s="274"/>
      <c r="P18" s="207"/>
      <c r="Q18" s="262"/>
      <c r="R18" s="208"/>
      <c r="S18" s="274"/>
      <c r="T18" s="207"/>
      <c r="U18" s="274"/>
      <c r="V18" s="264"/>
      <c r="W18" s="274"/>
      <c r="X18" s="207"/>
      <c r="Y18" s="274"/>
      <c r="Z18" s="264"/>
      <c r="AA18" s="274"/>
      <c r="AB18" s="207"/>
      <c r="AC18" s="274"/>
      <c r="AD18" s="207"/>
      <c r="AE18" s="262"/>
    </row>
    <row r="19" spans="1:31" ht="24.75" customHeight="1">
      <c r="A19" s="261">
        <f>+'17'!A19</f>
        <v>2013</v>
      </c>
      <c r="B19" s="266"/>
      <c r="C19" s="262"/>
      <c r="D19" s="207"/>
      <c r="E19" s="274"/>
      <c r="F19" s="207"/>
      <c r="G19" s="262"/>
      <c r="H19" s="208"/>
      <c r="I19" s="274"/>
      <c r="J19" s="207"/>
      <c r="K19" s="274"/>
      <c r="L19" s="207"/>
      <c r="M19" s="274"/>
      <c r="N19" s="207"/>
      <c r="O19" s="274"/>
      <c r="P19" s="207"/>
      <c r="Q19" s="262"/>
      <c r="R19" s="208"/>
      <c r="S19" s="274"/>
      <c r="T19" s="207"/>
      <c r="U19" s="274"/>
      <c r="V19" s="207"/>
      <c r="W19" s="274"/>
      <c r="X19" s="207"/>
      <c r="Y19" s="274"/>
      <c r="Z19" s="207"/>
      <c r="AA19" s="274"/>
      <c r="AB19" s="207"/>
      <c r="AC19" s="274"/>
      <c r="AD19" s="207"/>
      <c r="AE19" s="262"/>
    </row>
    <row r="20" spans="1:31" ht="24.75" customHeight="1">
      <c r="A20" s="261">
        <f>+'17'!A20</f>
        <v>2014</v>
      </c>
      <c r="B20" s="266"/>
      <c r="C20" s="262"/>
      <c r="D20" s="207"/>
      <c r="E20" s="274"/>
      <c r="F20" s="207"/>
      <c r="G20" s="262"/>
      <c r="H20" s="208"/>
      <c r="I20" s="274"/>
      <c r="J20" s="207"/>
      <c r="K20" s="274"/>
      <c r="L20" s="207"/>
      <c r="M20" s="274"/>
      <c r="N20" s="207"/>
      <c r="O20" s="274"/>
      <c r="P20" s="207"/>
      <c r="Q20" s="262"/>
      <c r="R20" s="208"/>
      <c r="S20" s="274"/>
      <c r="T20" s="207"/>
      <c r="U20" s="274"/>
      <c r="V20" s="207"/>
      <c r="W20" s="274"/>
      <c r="X20" s="207"/>
      <c r="Y20" s="274"/>
      <c r="Z20" s="207"/>
      <c r="AA20" s="274"/>
      <c r="AB20" s="207"/>
      <c r="AC20" s="274"/>
      <c r="AD20" s="207"/>
      <c r="AE20" s="262"/>
    </row>
    <row r="21" spans="1:31">
      <c r="A21" s="268"/>
      <c r="B21" s="210"/>
      <c r="C21" s="269"/>
      <c r="D21" s="210"/>
      <c r="E21" s="269"/>
      <c r="F21" s="216"/>
      <c r="G21" s="269"/>
      <c r="H21" s="270"/>
      <c r="I21" s="270"/>
      <c r="J21" s="210"/>
      <c r="K21" s="269"/>
      <c r="L21" s="210"/>
      <c r="M21" s="269"/>
      <c r="N21" s="210"/>
      <c r="O21" s="269"/>
      <c r="P21" s="210"/>
      <c r="Q21" s="269"/>
      <c r="R21" s="270"/>
      <c r="S21" s="270"/>
      <c r="T21" s="210"/>
      <c r="U21" s="269"/>
      <c r="V21" s="210"/>
      <c r="W21" s="269"/>
      <c r="X21" s="210"/>
      <c r="Y21" s="269"/>
      <c r="Z21" s="210"/>
      <c r="AA21" s="269"/>
      <c r="AB21" s="210"/>
      <c r="AC21" s="269"/>
      <c r="AD21" s="270"/>
      <c r="AE21" s="269"/>
    </row>
    <row r="22" spans="1:31">
      <c r="A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</row>
    <row r="23" spans="1:31">
      <c r="A23" s="1"/>
      <c r="B23" s="221" t="str">
        <f>+'17'!B22</f>
        <v>AÑO   2014  :   DATOS POR OCURRENCIA   (Provisorios)</v>
      </c>
      <c r="C23" s="271"/>
      <c r="D23" s="271"/>
      <c r="E23" s="271"/>
      <c r="F23" s="271"/>
      <c r="G23" s="271"/>
      <c r="H23" s="271"/>
      <c r="I23" s="271"/>
      <c r="J23" s="271"/>
      <c r="K23" s="217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</row>
    <row r="24" spans="1:31">
      <c r="A24" s="1"/>
      <c r="B24" s="217"/>
      <c r="C24" s="221" t="s">
        <v>739</v>
      </c>
      <c r="D24" s="221"/>
      <c r="E24" s="217"/>
      <c r="F24" s="217"/>
      <c r="G24" s="217"/>
      <c r="H24" s="217"/>
      <c r="I24" s="217"/>
      <c r="J24" s="217"/>
      <c r="K24" s="217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</row>
    <row r="25" spans="1:31">
      <c r="A25" s="1"/>
      <c r="B25" s="217"/>
      <c r="C25" s="217"/>
      <c r="D25" s="217"/>
      <c r="E25" s="217"/>
      <c r="F25" s="217"/>
      <c r="G25" s="217"/>
      <c r="H25" s="217"/>
      <c r="I25" s="217"/>
      <c r="J25" s="217"/>
      <c r="K25" s="217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</row>
  </sheetData>
  <phoneticPr fontId="19" type="noConversion"/>
  <pageMargins left="0.98425196850393704" right="0.59055118110236227" top="1.5748031496062993" bottom="0.59055118110236227" header="0.51181102362204722" footer="0.51181102362204722"/>
  <pageSetup paperSize="5" scale="90" orientation="landscape" horizontalDpi="300" verticalDpi="300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25"/>
  <sheetViews>
    <sheetView topLeftCell="A12" workbookViewId="0">
      <selection activeCell="AD13" sqref="AD13:AD16"/>
    </sheetView>
  </sheetViews>
  <sheetFormatPr baseColWidth="10" defaultRowHeight="12.75"/>
  <cols>
    <col min="1" max="1" width="6.28515625" customWidth="1"/>
    <col min="2" max="3" width="5.42578125" customWidth="1"/>
    <col min="4" max="4" width="4.7109375" customWidth="1"/>
    <col min="5" max="5" width="5.85546875" customWidth="1"/>
    <col min="6" max="6" width="6.42578125" customWidth="1"/>
    <col min="7" max="9" width="5.85546875" customWidth="1"/>
    <col min="10" max="10" width="3.7109375" customWidth="1"/>
    <col min="11" max="11" width="5.85546875" customWidth="1"/>
    <col min="12" max="12" width="4.28515625" customWidth="1"/>
    <col min="13" max="13" width="5.85546875" customWidth="1"/>
    <col min="14" max="14" width="4.140625" customWidth="1"/>
    <col min="15" max="15" width="5.85546875" customWidth="1"/>
    <col min="16" max="16" width="4" customWidth="1"/>
    <col min="17" max="19" width="5.85546875" customWidth="1"/>
    <col min="20" max="20" width="4" customWidth="1"/>
    <col min="21" max="21" width="5.85546875" customWidth="1"/>
    <col min="22" max="22" width="4.140625" customWidth="1"/>
    <col min="23" max="23" width="5.85546875" customWidth="1"/>
    <col min="24" max="24" width="4.28515625" customWidth="1"/>
    <col min="25" max="25" width="5.85546875" customWidth="1"/>
    <col min="26" max="26" width="4.28515625" customWidth="1"/>
    <col min="27" max="27" width="5.85546875" customWidth="1"/>
    <col min="28" max="28" width="4" customWidth="1"/>
    <col min="29" max="29" width="5.85546875" customWidth="1"/>
    <col min="30" max="30" width="4.140625" customWidth="1"/>
    <col min="31" max="31" width="5.85546875" customWidth="1"/>
  </cols>
  <sheetData>
    <row r="1" spans="1:31">
      <c r="A1" s="149" t="s">
        <v>740</v>
      </c>
      <c r="B1" s="149"/>
      <c r="C1" s="149"/>
      <c r="D1" s="149"/>
      <c r="E1" s="149"/>
      <c r="F1" s="149"/>
      <c r="G1" s="149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</row>
    <row r="2" spans="1:31">
      <c r="A2" s="149"/>
      <c r="B2" s="149"/>
      <c r="C2" s="149"/>
      <c r="D2" s="149"/>
      <c r="E2" s="149"/>
      <c r="F2" s="149"/>
      <c r="G2" s="149"/>
      <c r="H2" s="117"/>
      <c r="I2" s="117"/>
      <c r="J2" s="117"/>
      <c r="K2" s="117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</row>
    <row r="3" spans="1:31">
      <c r="A3" s="149" t="str">
        <f>+'19'!A3</f>
        <v>AÑOS   2005  - 2014</v>
      </c>
      <c r="B3" s="149"/>
      <c r="C3" s="149"/>
      <c r="D3" s="149"/>
      <c r="E3" s="149"/>
      <c r="F3" s="149"/>
      <c r="G3" s="149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/>
      <c r="AC3" s="117"/>
      <c r="AD3" s="117"/>
      <c r="AE3" s="117"/>
    </row>
    <row r="4" spans="1:31">
      <c r="A4" s="117"/>
      <c r="B4" s="117"/>
      <c r="C4" s="117"/>
      <c r="D4" s="117"/>
      <c r="E4" s="117"/>
      <c r="F4" s="117"/>
      <c r="G4" s="117"/>
      <c r="H4" s="117"/>
      <c r="I4" s="117"/>
      <c r="J4" s="117"/>
      <c r="K4" s="117"/>
      <c r="L4" s="117"/>
      <c r="M4" s="117"/>
      <c r="N4" s="117"/>
      <c r="O4" s="117"/>
      <c r="P4" s="117"/>
      <c r="Q4" s="117"/>
      <c r="R4" s="117"/>
      <c r="S4" s="117"/>
      <c r="T4" s="117"/>
      <c r="U4" s="117"/>
      <c r="V4" s="117"/>
      <c r="W4" s="117"/>
      <c r="X4" s="117"/>
      <c r="Y4" s="117"/>
      <c r="Z4" s="117"/>
      <c r="AA4" s="117"/>
      <c r="AB4" s="117"/>
      <c r="AC4" s="117"/>
      <c r="AD4" s="117"/>
      <c r="AE4" s="117"/>
    </row>
    <row r="5" spans="1:31">
      <c r="A5" s="1"/>
      <c r="B5" s="117"/>
      <c r="C5" s="117"/>
      <c r="D5" s="117"/>
      <c r="E5" s="117"/>
      <c r="F5" s="117"/>
      <c r="G5" s="117"/>
      <c r="H5" s="117"/>
      <c r="I5" s="117"/>
      <c r="J5" s="117"/>
      <c r="K5" s="117"/>
      <c r="L5" s="117"/>
      <c r="M5" s="117"/>
      <c r="N5" s="117"/>
      <c r="O5" s="117"/>
      <c r="P5" s="117"/>
      <c r="Q5" s="117"/>
      <c r="R5" s="117"/>
      <c r="S5" s="117"/>
      <c r="T5" s="117"/>
      <c r="U5" s="117"/>
      <c r="V5" s="117"/>
      <c r="W5" s="117"/>
      <c r="X5" s="117"/>
      <c r="Y5" s="117"/>
      <c r="Z5" s="117"/>
      <c r="AA5" s="117"/>
      <c r="AB5" s="117"/>
      <c r="AC5" s="117"/>
      <c r="AD5" s="117"/>
      <c r="AE5" s="117"/>
    </row>
    <row r="6" spans="1:31" ht="20.25" customHeight="1">
      <c r="A6" s="195"/>
      <c r="B6" s="194"/>
      <c r="C6" s="189"/>
      <c r="D6" s="194"/>
      <c r="E6" s="189"/>
      <c r="F6" s="194"/>
      <c r="G6" s="189"/>
      <c r="H6" s="246"/>
      <c r="I6" s="87"/>
      <c r="J6" s="122" t="s">
        <v>708</v>
      </c>
      <c r="K6" s="122"/>
      <c r="L6" s="122"/>
      <c r="M6" s="122"/>
      <c r="N6" s="122"/>
      <c r="O6" s="122"/>
      <c r="P6" s="122"/>
      <c r="Q6" s="122"/>
      <c r="R6" s="122"/>
      <c r="S6" s="122"/>
      <c r="T6" s="122"/>
      <c r="U6" s="122"/>
      <c r="V6" s="122"/>
      <c r="W6" s="122"/>
      <c r="X6" s="122"/>
      <c r="Y6" s="122"/>
      <c r="Z6" s="122"/>
      <c r="AA6" s="122"/>
      <c r="AB6" s="122"/>
      <c r="AC6" s="122"/>
      <c r="AD6" s="87"/>
      <c r="AE6" s="88"/>
    </row>
    <row r="7" spans="1:31">
      <c r="A7" s="190"/>
      <c r="B7" s="191"/>
      <c r="C7" s="248"/>
      <c r="D7" s="191"/>
      <c r="E7" s="272"/>
      <c r="F7" s="217" t="s">
        <v>716</v>
      </c>
      <c r="G7" s="217"/>
      <c r="H7" s="187" t="s">
        <v>717</v>
      </c>
      <c r="I7" s="249"/>
      <c r="J7" s="250"/>
      <c r="K7" s="251"/>
      <c r="L7" s="250"/>
      <c r="M7" s="251"/>
      <c r="N7" s="250"/>
      <c r="O7" s="251"/>
      <c r="P7" s="250"/>
      <c r="Q7" s="251"/>
      <c r="R7" s="187" t="s">
        <v>717</v>
      </c>
      <c r="S7" s="249"/>
      <c r="T7" s="250"/>
      <c r="U7" s="251"/>
      <c r="V7" s="250"/>
      <c r="W7" s="251"/>
      <c r="X7" s="250"/>
      <c r="Y7" s="251"/>
      <c r="Z7" s="221"/>
      <c r="AA7" s="251"/>
      <c r="AB7" s="250"/>
      <c r="AC7" s="251"/>
      <c r="AD7" s="250"/>
      <c r="AE7" s="251"/>
    </row>
    <row r="8" spans="1:31" ht="18" customHeight="1">
      <c r="A8" s="252" t="s">
        <v>709</v>
      </c>
      <c r="B8" s="204" t="s">
        <v>714</v>
      </c>
      <c r="C8" s="204"/>
      <c r="D8" s="204" t="s">
        <v>715</v>
      </c>
      <c r="E8" s="253"/>
      <c r="F8" s="204" t="s">
        <v>718</v>
      </c>
      <c r="G8" s="253"/>
      <c r="H8" s="204" t="s">
        <v>699</v>
      </c>
      <c r="I8" s="253"/>
      <c r="J8" s="204" t="s">
        <v>699</v>
      </c>
      <c r="K8" s="253"/>
      <c r="L8" s="254" t="s">
        <v>480</v>
      </c>
      <c r="M8" s="255"/>
      <c r="N8" s="204" t="s">
        <v>720</v>
      </c>
      <c r="O8" s="253"/>
      <c r="P8" s="204" t="s">
        <v>483</v>
      </c>
      <c r="Q8" s="253"/>
      <c r="R8" s="204" t="s">
        <v>721</v>
      </c>
      <c r="S8" s="253"/>
      <c r="T8" s="204" t="s">
        <v>721</v>
      </c>
      <c r="U8" s="253"/>
      <c r="V8" s="204" t="s">
        <v>445</v>
      </c>
      <c r="W8" s="253"/>
      <c r="X8" s="204" t="s">
        <v>463</v>
      </c>
      <c r="Y8" s="253"/>
      <c r="Z8" s="204" t="s">
        <v>468</v>
      </c>
      <c r="AA8" s="253"/>
      <c r="AB8" s="204" t="s">
        <v>722</v>
      </c>
      <c r="AC8" s="253"/>
      <c r="AD8" s="204" t="s">
        <v>470</v>
      </c>
      <c r="AE8" s="253"/>
    </row>
    <row r="9" spans="1:31" ht="20.25" customHeight="1">
      <c r="A9" s="256"/>
      <c r="B9" s="257" t="s">
        <v>736</v>
      </c>
      <c r="C9" s="259" t="s">
        <v>737</v>
      </c>
      <c r="D9" s="257" t="s">
        <v>736</v>
      </c>
      <c r="E9" s="259" t="s">
        <v>737</v>
      </c>
      <c r="F9" s="257" t="s">
        <v>736</v>
      </c>
      <c r="G9" s="259" t="s">
        <v>737</v>
      </c>
      <c r="H9" s="257" t="s">
        <v>736</v>
      </c>
      <c r="I9" s="258" t="s">
        <v>737</v>
      </c>
      <c r="J9" s="257" t="s">
        <v>736</v>
      </c>
      <c r="K9" s="258" t="s">
        <v>737</v>
      </c>
      <c r="L9" s="257" t="s">
        <v>736</v>
      </c>
      <c r="M9" s="259" t="s">
        <v>737</v>
      </c>
      <c r="N9" s="257" t="s">
        <v>736</v>
      </c>
      <c r="O9" s="259" t="s">
        <v>737</v>
      </c>
      <c r="P9" s="257" t="s">
        <v>736</v>
      </c>
      <c r="Q9" s="259" t="s">
        <v>737</v>
      </c>
      <c r="R9" s="257" t="s">
        <v>736</v>
      </c>
      <c r="S9" s="258" t="s">
        <v>737</v>
      </c>
      <c r="T9" s="257" t="s">
        <v>736</v>
      </c>
      <c r="U9" s="259" t="s">
        <v>737</v>
      </c>
      <c r="V9" s="257" t="s">
        <v>736</v>
      </c>
      <c r="W9" s="259" t="s">
        <v>737</v>
      </c>
      <c r="X9" s="257" t="s">
        <v>736</v>
      </c>
      <c r="Y9" s="259" t="s">
        <v>737</v>
      </c>
      <c r="Z9" s="257" t="s">
        <v>736</v>
      </c>
      <c r="AA9" s="259" t="s">
        <v>737</v>
      </c>
      <c r="AB9" s="257" t="s">
        <v>736</v>
      </c>
      <c r="AC9" s="259" t="s">
        <v>737</v>
      </c>
      <c r="AD9" s="257" t="s">
        <v>736</v>
      </c>
      <c r="AE9" s="259" t="s">
        <v>737</v>
      </c>
    </row>
    <row r="10" spans="1:31">
      <c r="A10" s="186"/>
      <c r="B10" s="187"/>
      <c r="C10" s="249"/>
      <c r="D10" s="187"/>
      <c r="E10" s="249"/>
      <c r="F10" s="187"/>
      <c r="G10" s="249"/>
      <c r="H10" s="260"/>
      <c r="I10" s="260"/>
      <c r="J10" s="187"/>
      <c r="K10" s="249"/>
      <c r="L10" s="187"/>
      <c r="M10" s="249"/>
      <c r="N10" s="187"/>
      <c r="O10" s="249"/>
      <c r="P10" s="187"/>
      <c r="Q10" s="249"/>
      <c r="R10" s="260"/>
      <c r="S10" s="260"/>
      <c r="T10" s="187"/>
      <c r="U10" s="249"/>
      <c r="V10" s="187"/>
      <c r="W10" s="249"/>
      <c r="X10" s="187"/>
      <c r="Y10" s="249"/>
      <c r="Z10" s="187"/>
      <c r="AA10" s="249"/>
      <c r="AB10" s="187"/>
      <c r="AC10" s="249"/>
      <c r="AD10" s="260"/>
      <c r="AE10" s="249"/>
    </row>
    <row r="11" spans="1:31" ht="24.75" customHeight="1">
      <c r="A11" s="261">
        <f>+'19'!A11</f>
        <v>2005</v>
      </c>
      <c r="B11" s="207"/>
      <c r="C11" s="275"/>
      <c r="D11" s="207"/>
      <c r="E11" s="275"/>
      <c r="F11" s="207">
        <f t="shared" ref="F11:F16" si="0">+J11+L11+N11+P11+T11+V11+X11+Z11+AB11+AD11</f>
        <v>67</v>
      </c>
      <c r="G11" s="262">
        <f>+F11/'17'!F11*1000</f>
        <v>18.2312925170068</v>
      </c>
      <c r="H11" s="276">
        <f t="shared" ref="H11:H16" si="1">+J11+L11+N11+P11</f>
        <v>18</v>
      </c>
      <c r="I11" s="277">
        <f>+H11/'17'!H11*1000</f>
        <v>11.811023622047244</v>
      </c>
      <c r="J11" s="278">
        <f>+'19'!J11+'23'!J11</f>
        <v>9</v>
      </c>
      <c r="K11" s="274">
        <f>+J11/'17'!J11*1000</f>
        <v>8.6538461538461551</v>
      </c>
      <c r="L11" s="278">
        <f>+'19'!L11+'23'!L11</f>
        <v>3</v>
      </c>
      <c r="M11" s="262">
        <f>+L11/'17'!L11*1000</f>
        <v>13.82488479262673</v>
      </c>
      <c r="N11" s="278">
        <f>+'19'!N11+'23'!N11</f>
        <v>2</v>
      </c>
      <c r="O11" s="274">
        <f>+N11/'17'!N11*1000</f>
        <v>13.422818791946309</v>
      </c>
      <c r="P11" s="278">
        <f>+'19'!P11+'23'!P11</f>
        <v>4</v>
      </c>
      <c r="Q11" s="274">
        <f>+P11/'17'!P11*1000</f>
        <v>33.898305084745765</v>
      </c>
      <c r="R11" s="207">
        <f t="shared" ref="R11:R16" si="2">+T11+V11+X11+Z11+AB11+AD11</f>
        <v>49</v>
      </c>
      <c r="S11" s="267">
        <f>+R11/'17'!R11*1000</f>
        <v>22.780102278010229</v>
      </c>
      <c r="T11" s="278">
        <f>+'19'!T11+'23'!T11</f>
        <v>29</v>
      </c>
      <c r="U11" s="274">
        <f>+T11/'17'!T11*1000</f>
        <v>25.173611111111111</v>
      </c>
      <c r="V11" s="278">
        <f>+'19'!V11+'23'!V11</f>
        <v>5</v>
      </c>
      <c r="W11" s="274">
        <f>+V11/'17'!V11*1000</f>
        <v>28.409090909090907</v>
      </c>
      <c r="X11" s="278">
        <f>+'19'!X11+'23'!X11</f>
        <v>3</v>
      </c>
      <c r="Y11" s="274">
        <f>+X11/'17'!X11*1000</f>
        <v>16.949152542372882</v>
      </c>
      <c r="Z11" s="278">
        <f>+'19'!Z11+'23'!Z11</f>
        <v>3</v>
      </c>
      <c r="AA11" s="274">
        <f>+Z11/'17'!Z11*1000</f>
        <v>26.086956521739129</v>
      </c>
      <c r="AB11" s="278">
        <f>+'19'!AB11+'23'!AB11</f>
        <v>8</v>
      </c>
      <c r="AC11" s="274">
        <f>+AB11/'17'!AB11*1000</f>
        <v>24.464831804281346</v>
      </c>
      <c r="AD11" s="278">
        <f>+'19'!AD11+'23'!AD11</f>
        <v>1</v>
      </c>
      <c r="AE11" s="262">
        <f>+AD11/'17'!AD11*1000</f>
        <v>4.9019607843137258</v>
      </c>
    </row>
    <row r="12" spans="1:31" ht="24.75" customHeight="1">
      <c r="A12" s="261">
        <f>+'19'!A12</f>
        <v>2006</v>
      </c>
      <c r="B12" s="207"/>
      <c r="C12" s="275"/>
      <c r="D12" s="207"/>
      <c r="E12" s="275"/>
      <c r="F12" s="207">
        <f t="shared" si="0"/>
        <v>55</v>
      </c>
      <c r="G12" s="262">
        <f>+F12/'17'!F12*1000</f>
        <v>15.545505935556813</v>
      </c>
      <c r="H12" s="276">
        <f t="shared" si="1"/>
        <v>22</v>
      </c>
      <c r="I12" s="277">
        <f>+H12/'17'!H12*1000</f>
        <v>15.591778880226789</v>
      </c>
      <c r="J12" s="278">
        <f>+'19'!J12+'23'!J12</f>
        <v>16</v>
      </c>
      <c r="K12" s="274">
        <f>+J12/'17'!J12*1000</f>
        <v>17.185821697099893</v>
      </c>
      <c r="L12" s="278">
        <f>+'19'!L12+'23'!L12</f>
        <v>3</v>
      </c>
      <c r="M12" s="262">
        <f>+L12/'17'!L12*1000</f>
        <v>13.274336283185841</v>
      </c>
      <c r="N12" s="278">
        <f>+'19'!N12+'23'!N12</f>
        <v>2</v>
      </c>
      <c r="O12" s="274">
        <f>+N12/'17'!N12*1000</f>
        <v>13.245033112582782</v>
      </c>
      <c r="P12" s="278">
        <f>+'19'!P12+'23'!P12</f>
        <v>1</v>
      </c>
      <c r="Q12" s="274">
        <f>+P12/'17'!P12*1000</f>
        <v>9.7087378640776691</v>
      </c>
      <c r="R12" s="207">
        <f t="shared" si="2"/>
        <v>33</v>
      </c>
      <c r="S12" s="267">
        <f>+R12/'17'!R12*1000</f>
        <v>15.514809590973202</v>
      </c>
      <c r="T12" s="278">
        <f>+'19'!T12+'23'!T12</f>
        <v>19</v>
      </c>
      <c r="U12" s="274">
        <f>+T12/'17'!T12*1000</f>
        <v>16.934046345811051</v>
      </c>
      <c r="V12" s="278">
        <f>+'19'!V12+'23'!V12</f>
        <v>7</v>
      </c>
      <c r="W12" s="274">
        <f>+V12/'17'!V12*1000</f>
        <v>37.037037037037038</v>
      </c>
      <c r="X12" s="278">
        <f>+'19'!X12+'23'!X12</f>
        <v>0</v>
      </c>
      <c r="Y12" s="274">
        <f>+X12/'17'!X12*1000</f>
        <v>0</v>
      </c>
      <c r="Z12" s="278">
        <f>+'19'!Z12+'23'!Z12</f>
        <v>0</v>
      </c>
      <c r="AA12" s="274">
        <f>+Z12/'17'!Z12*1000</f>
        <v>0</v>
      </c>
      <c r="AB12" s="278">
        <f>+'19'!AB12+'23'!AB12</f>
        <v>5</v>
      </c>
      <c r="AC12" s="274">
        <f>+AB12/'17'!AB12*1000</f>
        <v>14.88095238095238</v>
      </c>
      <c r="AD12" s="278">
        <f>+'19'!AD12+'23'!AD12</f>
        <v>2</v>
      </c>
      <c r="AE12" s="262">
        <f>+AD12/'17'!AD12*1000</f>
        <v>10.309278350515465</v>
      </c>
    </row>
    <row r="13" spans="1:31" ht="24.75" customHeight="1">
      <c r="A13" s="261">
        <f>+'19'!A13</f>
        <v>2007</v>
      </c>
      <c r="B13" s="207"/>
      <c r="C13" s="275"/>
      <c r="D13" s="207"/>
      <c r="E13" s="275"/>
      <c r="F13" s="207">
        <f t="shared" si="0"/>
        <v>81</v>
      </c>
      <c r="G13" s="262">
        <f>+F13/'17'!F13*1000</f>
        <v>22.437673130193907</v>
      </c>
      <c r="H13" s="276">
        <f t="shared" si="1"/>
        <v>23</v>
      </c>
      <c r="I13" s="277">
        <f>+H13/'17'!H13*1000</f>
        <v>15.950069348127601</v>
      </c>
      <c r="J13" s="278">
        <f>+'19'!J13+'23'!J13</f>
        <v>14</v>
      </c>
      <c r="K13" s="274">
        <f>+J13/'17'!J13*1000</f>
        <v>14.256619144602853</v>
      </c>
      <c r="L13" s="278">
        <f>+'19'!L13+'23'!L13</f>
        <v>6</v>
      </c>
      <c r="M13" s="262">
        <f>+L13/'17'!L13*1000</f>
        <v>28.571428571428569</v>
      </c>
      <c r="N13" s="278">
        <f>+'19'!N13+'23'!N13</f>
        <v>2</v>
      </c>
      <c r="O13" s="274">
        <f>+N13/'17'!N13*1000</f>
        <v>13.333333333333334</v>
      </c>
      <c r="P13" s="278">
        <f>+'19'!P13+'23'!P13</f>
        <v>1</v>
      </c>
      <c r="Q13" s="274">
        <f>+P13/'17'!P13*1000</f>
        <v>10</v>
      </c>
      <c r="R13" s="207">
        <f t="shared" si="2"/>
        <v>58</v>
      </c>
      <c r="S13" s="267">
        <f>+R13/'17'!R13*1000</f>
        <v>26.752767527675275</v>
      </c>
      <c r="T13" s="278">
        <f>+'19'!T13+'23'!T13</f>
        <v>39</v>
      </c>
      <c r="U13" s="274">
        <f>+T13/'17'!T13*1000</f>
        <v>32.284768211920529</v>
      </c>
      <c r="V13" s="278">
        <f>+'19'!V13+'23'!V13</f>
        <v>6</v>
      </c>
      <c r="W13" s="274">
        <f>+V13/'17'!V13*1000</f>
        <v>31.578947368421055</v>
      </c>
      <c r="X13" s="278">
        <f>+'19'!X13+'23'!X13</f>
        <v>4</v>
      </c>
      <c r="Y13" s="274">
        <f>+X13/'17'!X13*1000</f>
        <v>19.900497512437809</v>
      </c>
      <c r="Z13" s="278">
        <f>+'19'!Z13+'23'!Z13</f>
        <v>1</v>
      </c>
      <c r="AA13" s="274">
        <f>+Z13/'17'!Z13*1000</f>
        <v>11.363636363636363</v>
      </c>
      <c r="AB13" s="278">
        <f>+'19'!AB13+'23'!AB13</f>
        <v>8</v>
      </c>
      <c r="AC13" s="274">
        <f>+AB13/'17'!AB13*1000</f>
        <v>26.058631921824105</v>
      </c>
      <c r="AD13" s="278">
        <f>+'19'!AD13+'23'!AD13</f>
        <v>0</v>
      </c>
      <c r="AE13" s="262">
        <f>+AD13/'17'!AD13*1000</f>
        <v>0</v>
      </c>
    </row>
    <row r="14" spans="1:31" ht="24.75" customHeight="1">
      <c r="A14" s="261">
        <f>+'19'!A14</f>
        <v>2008</v>
      </c>
      <c r="B14" s="207"/>
      <c r="C14" s="275"/>
      <c r="D14" s="207"/>
      <c r="E14" s="275"/>
      <c r="F14" s="207">
        <f t="shared" si="0"/>
        <v>68</v>
      </c>
      <c r="G14" s="262">
        <f>+F14/'17'!F14*1000</f>
        <v>18.543768748295609</v>
      </c>
      <c r="H14" s="276">
        <f t="shared" si="1"/>
        <v>32</v>
      </c>
      <c r="I14" s="277">
        <f>+H14/'17'!H14*1000</f>
        <v>21.724372029871009</v>
      </c>
      <c r="J14" s="278">
        <f>+'19'!J14+'23'!J14</f>
        <v>22</v>
      </c>
      <c r="K14" s="274">
        <f>+J14/'17'!J14*1000</f>
        <v>22.797927461139896</v>
      </c>
      <c r="L14" s="278">
        <f>+'19'!L14+'23'!L14</f>
        <v>3</v>
      </c>
      <c r="M14" s="262">
        <f>+L14/'17'!L14*1000</f>
        <v>12.295081967213115</v>
      </c>
      <c r="N14" s="278">
        <f>+'19'!N14+'23'!N14</f>
        <v>5</v>
      </c>
      <c r="O14" s="274">
        <f>+N14/'17'!N14*1000</f>
        <v>32.89473684210526</v>
      </c>
      <c r="P14" s="278">
        <f>+'19'!P14+'23'!P14</f>
        <v>2</v>
      </c>
      <c r="Q14" s="274">
        <f>+P14/'17'!P14*1000</f>
        <v>17.857142857142858</v>
      </c>
      <c r="R14" s="207">
        <f t="shared" si="2"/>
        <v>36</v>
      </c>
      <c r="S14" s="267">
        <f>+R14/'17'!R14*1000</f>
        <v>16.408386508659984</v>
      </c>
      <c r="T14" s="278">
        <f>+'19'!T14+'23'!T14</f>
        <v>24</v>
      </c>
      <c r="U14" s="274">
        <f>+T14/'17'!T14*1000</f>
        <v>20.134228187919462</v>
      </c>
      <c r="V14" s="278">
        <f>+'19'!V14+'23'!V14</f>
        <v>3</v>
      </c>
      <c r="W14" s="274">
        <f>+V14/'17'!V14*1000</f>
        <v>15</v>
      </c>
      <c r="X14" s="278">
        <f>+'19'!X14+'23'!X14</f>
        <v>5</v>
      </c>
      <c r="Y14" s="274">
        <f>+X14/'17'!X14*1000</f>
        <v>30.487804878048781</v>
      </c>
      <c r="Z14" s="278">
        <f>+'19'!Z14+'23'!Z14</f>
        <v>0</v>
      </c>
      <c r="AA14" s="274">
        <f>+Z14/'17'!Z14*1000</f>
        <v>0</v>
      </c>
      <c r="AB14" s="278">
        <f>+'19'!AB14+'23'!AB14</f>
        <v>1</v>
      </c>
      <c r="AC14" s="274">
        <f>+AB14/'17'!AB14*1000</f>
        <v>3.1545741324921135</v>
      </c>
      <c r="AD14" s="278">
        <f>+'19'!AD14+'23'!AD14</f>
        <v>3</v>
      </c>
      <c r="AE14" s="262">
        <f>+AD14/'17'!AD14*1000</f>
        <v>15.384615384615385</v>
      </c>
    </row>
    <row r="15" spans="1:31" ht="24.75" customHeight="1">
      <c r="A15" s="261">
        <f>+'19'!A15</f>
        <v>2009</v>
      </c>
      <c r="B15" s="207">
        <v>2634</v>
      </c>
      <c r="C15" s="262">
        <f>+B15/'17'!B15*1000</f>
        <v>10.442435775451951</v>
      </c>
      <c r="D15" s="207">
        <v>223</v>
      </c>
      <c r="E15" s="262">
        <f>+D15/'17'!D15*1000</f>
        <v>9.3954076258689696</v>
      </c>
      <c r="F15" s="207">
        <f t="shared" si="0"/>
        <v>47</v>
      </c>
      <c r="G15" s="262">
        <f>+F15/'17'!F15*1000</f>
        <v>12.695840086439761</v>
      </c>
      <c r="H15" s="276">
        <f t="shared" si="1"/>
        <v>18</v>
      </c>
      <c r="I15" s="277">
        <f>+H15/'17'!H15*1000</f>
        <v>11.734028683181226</v>
      </c>
      <c r="J15" s="278">
        <f>+'19'!J15+'23'!J15</f>
        <v>15</v>
      </c>
      <c r="K15" s="274">
        <f>+J15/'17'!J15*1000</f>
        <v>15.228426395939087</v>
      </c>
      <c r="L15" s="278">
        <f>+'19'!L15+'23'!L15</f>
        <v>0</v>
      </c>
      <c r="M15" s="262">
        <f>+L15/'17'!L15*1000</f>
        <v>0</v>
      </c>
      <c r="N15" s="278">
        <f>+'19'!N15+'23'!N15</f>
        <v>3</v>
      </c>
      <c r="O15" s="274">
        <f>+N15/'17'!N15*1000</f>
        <v>19.230769230769234</v>
      </c>
      <c r="P15" s="278">
        <f>+'19'!P15+'23'!P15</f>
        <v>0</v>
      </c>
      <c r="Q15" s="274">
        <f>+P15/'17'!P15*1000</f>
        <v>0</v>
      </c>
      <c r="R15" s="207">
        <f t="shared" si="2"/>
        <v>29</v>
      </c>
      <c r="S15" s="267">
        <f>+R15/'17'!R15*1000</f>
        <v>13.376383763837637</v>
      </c>
      <c r="T15" s="278">
        <f>+'19'!T15+'23'!T15</f>
        <v>19</v>
      </c>
      <c r="U15" s="274">
        <f>+T15/'17'!T15*1000</f>
        <v>16.253207869974339</v>
      </c>
      <c r="V15" s="278">
        <f>+'19'!V15+'23'!V15</f>
        <v>2</v>
      </c>
      <c r="W15" s="274">
        <f>+V15/'17'!V15*1000</f>
        <v>9.8522167487684733</v>
      </c>
      <c r="X15" s="278">
        <f>+'19'!X15+'23'!X15</f>
        <v>3</v>
      </c>
      <c r="Y15" s="274">
        <f>+X15/'17'!X15*1000</f>
        <v>17.647058823529413</v>
      </c>
      <c r="Z15" s="278">
        <f>+'19'!Z15+'23'!Z15</f>
        <v>2</v>
      </c>
      <c r="AA15" s="274">
        <f>+Z15/'17'!Z15*1000</f>
        <v>19.801980198019802</v>
      </c>
      <c r="AB15" s="278">
        <f>+'19'!AB15+'23'!AB15</f>
        <v>3</v>
      </c>
      <c r="AC15" s="274">
        <f>+AB15/'17'!AB15*1000</f>
        <v>8.720930232558139</v>
      </c>
      <c r="AD15" s="278">
        <f>+'19'!AD15+'23'!AD15</f>
        <v>0</v>
      </c>
      <c r="AE15" s="262">
        <f>+AD15/'17'!AD15*1000</f>
        <v>0</v>
      </c>
    </row>
    <row r="16" spans="1:31" ht="24.75" customHeight="1">
      <c r="A16" s="261">
        <f>+'19'!A16</f>
        <v>2010</v>
      </c>
      <c r="B16" s="207">
        <v>2364</v>
      </c>
      <c r="C16" s="262">
        <f>+B16/'17'!B16*1000</f>
        <v>9.4108654891142081</v>
      </c>
      <c r="D16" s="207">
        <v>203</v>
      </c>
      <c r="E16" s="262">
        <f>+D16/'17'!D16*1000</f>
        <v>8.5222502099076394</v>
      </c>
      <c r="F16" s="207">
        <f t="shared" si="0"/>
        <v>55</v>
      </c>
      <c r="G16" s="262">
        <f>+F16/'17'!F16*1000</f>
        <v>14.009169638308711</v>
      </c>
      <c r="H16" s="276">
        <f t="shared" si="1"/>
        <v>21</v>
      </c>
      <c r="I16" s="277">
        <f>+H16/'17'!H16*1000</f>
        <v>12.642986152919928</v>
      </c>
      <c r="J16" s="278">
        <f>+'19'!J16+'23'!J16</f>
        <v>14</v>
      </c>
      <c r="K16" s="274">
        <f>+J16/'17'!J16*1000</f>
        <v>13.17027281279398</v>
      </c>
      <c r="L16" s="278">
        <f>+'19'!L16+'23'!L16</f>
        <v>2</v>
      </c>
      <c r="M16" s="262">
        <f>+L16/'17'!L16*1000</f>
        <v>8.0321285140562235</v>
      </c>
      <c r="N16" s="278">
        <f>+'19'!N16+'23'!N16</f>
        <v>3</v>
      </c>
      <c r="O16" s="274">
        <f>+N16/'17'!N16*1000</f>
        <v>16.129032258064516</v>
      </c>
      <c r="P16" s="278">
        <f>+'19'!P16+'23'!P16</f>
        <v>2</v>
      </c>
      <c r="Q16" s="274">
        <f>+P16/'17'!P16*1000</f>
        <v>12.269938650306749</v>
      </c>
      <c r="R16" s="207">
        <f t="shared" si="2"/>
        <v>34</v>
      </c>
      <c r="S16" s="267">
        <f>+R16/'17'!R16*1000</f>
        <v>15.011037527593819</v>
      </c>
      <c r="T16" s="278">
        <f>+'19'!T16+'23'!T16</f>
        <v>21</v>
      </c>
      <c r="U16" s="274">
        <f>+T16/'17'!T16*1000</f>
        <v>17.255546425636812</v>
      </c>
      <c r="V16" s="278">
        <f>+'19'!V16+'23'!V16</f>
        <v>1</v>
      </c>
      <c r="W16" s="274">
        <f>+V16/'17'!V16*1000</f>
        <v>5.2631578947368416</v>
      </c>
      <c r="X16" s="278">
        <f>+'19'!X16+'23'!X16</f>
        <v>5</v>
      </c>
      <c r="Y16" s="274">
        <f>+X16/'17'!X16*1000</f>
        <v>25.906735751295336</v>
      </c>
      <c r="Z16" s="278">
        <f>+'19'!Z16+'23'!Z16</f>
        <v>1</v>
      </c>
      <c r="AA16" s="274">
        <f>+Z16/'17'!Z16*1000</f>
        <v>9.5238095238095255</v>
      </c>
      <c r="AB16" s="278">
        <f>+'19'!AB16+'23'!AB16</f>
        <v>4</v>
      </c>
      <c r="AC16" s="274">
        <f>+AB16/'17'!AB16*1000</f>
        <v>12.121212121212121</v>
      </c>
      <c r="AD16" s="278">
        <f>+'19'!AD16+'23'!AD16</f>
        <v>2</v>
      </c>
      <c r="AE16" s="262">
        <f>+AD16/'17'!AD16*1000</f>
        <v>8.695652173913043</v>
      </c>
    </row>
    <row r="17" spans="1:31" ht="24.75" customHeight="1">
      <c r="A17" s="261">
        <f>+'19'!A17</f>
        <v>2011</v>
      </c>
      <c r="B17" s="207">
        <v>2362</v>
      </c>
      <c r="C17" s="262">
        <f>+B17/'17'!B17*1000</f>
        <v>9.4905556515415128</v>
      </c>
      <c r="D17" s="207">
        <v>205</v>
      </c>
      <c r="E17" s="262">
        <f>+D17/'17'!D17*1000</f>
        <v>8.6519794040685412</v>
      </c>
      <c r="F17" s="207"/>
      <c r="G17" s="262"/>
      <c r="H17" s="276"/>
      <c r="I17" s="277"/>
      <c r="J17" s="278"/>
      <c r="K17" s="274"/>
      <c r="L17" s="278"/>
      <c r="M17" s="262"/>
      <c r="N17" s="278"/>
      <c r="O17" s="274"/>
      <c r="P17" s="278"/>
      <c r="Q17" s="274"/>
      <c r="R17" s="207"/>
      <c r="S17" s="267"/>
      <c r="T17" s="266"/>
      <c r="U17" s="274"/>
      <c r="V17" s="266"/>
      <c r="W17" s="274"/>
      <c r="X17" s="207"/>
      <c r="Y17" s="274"/>
      <c r="Z17" s="207"/>
      <c r="AA17" s="274"/>
      <c r="AB17" s="207"/>
      <c r="AC17" s="274"/>
      <c r="AD17" s="207"/>
      <c r="AE17" s="262"/>
    </row>
    <row r="18" spans="1:31" ht="24.75" customHeight="1">
      <c r="A18" s="261">
        <f>+'19'!A18</f>
        <v>2012</v>
      </c>
      <c r="B18" s="207"/>
      <c r="C18" s="262"/>
      <c r="D18" s="207"/>
      <c r="E18" s="262"/>
      <c r="F18" s="207"/>
      <c r="G18" s="262"/>
      <c r="H18" s="276"/>
      <c r="I18" s="277"/>
      <c r="J18" s="278"/>
      <c r="K18" s="274"/>
      <c r="L18" s="278"/>
      <c r="M18" s="262"/>
      <c r="N18" s="278"/>
      <c r="O18" s="274"/>
      <c r="P18" s="278"/>
      <c r="Q18" s="274"/>
      <c r="R18" s="207"/>
      <c r="S18" s="267"/>
      <c r="T18" s="266"/>
      <c r="U18" s="274"/>
      <c r="V18" s="266"/>
      <c r="W18" s="274"/>
      <c r="X18" s="207"/>
      <c r="Y18" s="274"/>
      <c r="Z18" s="207"/>
      <c r="AA18" s="274"/>
      <c r="AB18" s="207"/>
      <c r="AC18" s="274"/>
      <c r="AD18" s="207"/>
      <c r="AE18" s="262"/>
    </row>
    <row r="19" spans="1:31" ht="24.75" customHeight="1">
      <c r="A19" s="261">
        <f>+'19'!A19</f>
        <v>2013</v>
      </c>
      <c r="B19" s="207"/>
      <c r="C19" s="275"/>
      <c r="D19" s="207"/>
      <c r="E19" s="275"/>
      <c r="F19" s="207"/>
      <c r="G19" s="262"/>
      <c r="H19" s="276"/>
      <c r="I19" s="277"/>
      <c r="J19" s="278"/>
      <c r="K19" s="274"/>
      <c r="L19" s="278"/>
      <c r="M19" s="262"/>
      <c r="N19" s="278"/>
      <c r="O19" s="274"/>
      <c r="P19" s="278"/>
      <c r="Q19" s="274"/>
      <c r="R19" s="207"/>
      <c r="S19" s="267"/>
      <c r="T19" s="278"/>
      <c r="U19" s="274"/>
      <c r="V19" s="278"/>
      <c r="W19" s="274"/>
      <c r="X19" s="278"/>
      <c r="Y19" s="274"/>
      <c r="Z19" s="278"/>
      <c r="AA19" s="274"/>
      <c r="AB19" s="278"/>
      <c r="AC19" s="274"/>
      <c r="AD19" s="278"/>
      <c r="AE19" s="262"/>
    </row>
    <row r="20" spans="1:31" ht="24.75" customHeight="1">
      <c r="A20" s="261">
        <f>+'19'!A20</f>
        <v>2014</v>
      </c>
      <c r="B20" s="207"/>
      <c r="C20" s="275"/>
      <c r="D20" s="207"/>
      <c r="E20" s="275"/>
      <c r="F20" s="207"/>
      <c r="G20" s="262"/>
      <c r="H20" s="276"/>
      <c r="I20" s="277"/>
      <c r="J20" s="278"/>
      <c r="K20" s="274"/>
      <c r="L20" s="278"/>
      <c r="M20" s="262"/>
      <c r="N20" s="278"/>
      <c r="O20" s="274"/>
      <c r="P20" s="278"/>
      <c r="Q20" s="274"/>
      <c r="R20" s="207"/>
      <c r="S20" s="267"/>
      <c r="T20" s="278"/>
      <c r="U20" s="274"/>
      <c r="V20" s="278"/>
      <c r="W20" s="274"/>
      <c r="X20" s="278"/>
      <c r="Y20" s="274"/>
      <c r="Z20" s="278"/>
      <c r="AA20" s="274"/>
      <c r="AB20" s="278"/>
      <c r="AC20" s="274"/>
      <c r="AD20" s="278"/>
      <c r="AE20" s="262"/>
    </row>
    <row r="21" spans="1:31">
      <c r="A21" s="268"/>
      <c r="B21" s="210"/>
      <c r="C21" s="269"/>
      <c r="D21" s="210"/>
      <c r="E21" s="269"/>
      <c r="F21" s="216"/>
      <c r="G21" s="269"/>
      <c r="H21" s="270"/>
      <c r="I21" s="270"/>
      <c r="J21" s="210"/>
      <c r="K21" s="269"/>
      <c r="L21" s="210"/>
      <c r="M21" s="269"/>
      <c r="N21" s="210"/>
      <c r="O21" s="269"/>
      <c r="P21" s="210"/>
      <c r="Q21" s="269"/>
      <c r="R21" s="270"/>
      <c r="S21" s="270"/>
      <c r="T21" s="210"/>
      <c r="U21" s="269"/>
      <c r="V21" s="210"/>
      <c r="W21" s="269"/>
      <c r="X21" s="210"/>
      <c r="Y21" s="269"/>
      <c r="Z21" s="210"/>
      <c r="AA21" s="269"/>
      <c r="AB21" s="210"/>
      <c r="AC21" s="269"/>
      <c r="AD21" s="270"/>
      <c r="AE21" s="269"/>
    </row>
    <row r="22" spans="1:31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</row>
    <row r="23" spans="1:31">
      <c r="A23" s="1"/>
      <c r="B23" s="221" t="str">
        <f>+'17'!B22</f>
        <v>AÑO   2014  :   DATOS POR OCURRENCIA   (Provisorios)</v>
      </c>
      <c r="C23" s="271"/>
      <c r="D23" s="271"/>
      <c r="E23" s="271"/>
      <c r="F23" s="271"/>
      <c r="G23" s="271"/>
      <c r="H23" s="271"/>
      <c r="I23" s="271"/>
      <c r="J23" s="27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</row>
    <row r="24" spans="1:31">
      <c r="A24" s="1"/>
      <c r="B24" s="217"/>
      <c r="C24" s="221" t="s">
        <v>742</v>
      </c>
      <c r="D24" s="271"/>
      <c r="E24" s="271"/>
      <c r="F24" s="271"/>
      <c r="G24" s="217"/>
      <c r="H24" s="217"/>
      <c r="I24" s="217"/>
      <c r="J24" s="217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</row>
    <row r="25" spans="1:3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</row>
  </sheetData>
  <phoneticPr fontId="19" type="noConversion"/>
  <pageMargins left="0.98425196850393704" right="0.59055118110236227" top="1.5748031496062993" bottom="0.59055118110236227" header="0.51181102362204722" footer="0.51181102362204722"/>
  <pageSetup paperSize="5" scale="90" orientation="landscape" horizontalDpi="300" verticalDpi="300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25"/>
  <sheetViews>
    <sheetView topLeftCell="A17" workbookViewId="0">
      <selection activeCell="B17" sqref="B17"/>
    </sheetView>
  </sheetViews>
  <sheetFormatPr baseColWidth="10" defaultRowHeight="12.75"/>
  <cols>
    <col min="1" max="1" width="6.28515625" customWidth="1"/>
    <col min="2" max="2" width="5.7109375" customWidth="1"/>
    <col min="3" max="3" width="5.42578125" customWidth="1"/>
    <col min="4" max="4" width="5" customWidth="1"/>
    <col min="5" max="5" width="6.28515625" customWidth="1"/>
    <col min="6" max="6" width="6.140625" customWidth="1"/>
    <col min="7" max="7" width="5.140625" customWidth="1"/>
    <col min="8" max="9" width="6.42578125" customWidth="1"/>
    <col min="10" max="10" width="4" customWidth="1"/>
    <col min="11" max="11" width="5.85546875" customWidth="1"/>
    <col min="12" max="12" width="4" customWidth="1"/>
    <col min="13" max="13" width="5.85546875" customWidth="1"/>
    <col min="14" max="15" width="5.28515625" customWidth="1"/>
    <col min="16" max="16" width="4.5703125" customWidth="1"/>
    <col min="17" max="19" width="5.85546875" customWidth="1"/>
    <col min="20" max="20" width="4.140625" customWidth="1"/>
    <col min="21" max="21" width="5.85546875" customWidth="1"/>
    <col min="22" max="22" width="3.85546875" customWidth="1"/>
    <col min="23" max="23" width="5.85546875" customWidth="1"/>
    <col min="24" max="24" width="4" customWidth="1"/>
    <col min="25" max="25" width="5.85546875" customWidth="1"/>
    <col min="26" max="26" width="4.140625" customWidth="1"/>
    <col min="27" max="27" width="5.85546875" customWidth="1"/>
    <col min="28" max="28" width="3.85546875" customWidth="1"/>
    <col min="29" max="29" width="5.85546875" customWidth="1"/>
    <col min="30" max="30" width="3.85546875" customWidth="1"/>
    <col min="31" max="31" width="5.85546875" customWidth="1"/>
  </cols>
  <sheetData>
    <row r="1" spans="1:31">
      <c r="A1" s="149" t="s">
        <v>743</v>
      </c>
      <c r="B1" s="279"/>
      <c r="C1" s="279"/>
      <c r="D1" s="279"/>
      <c r="E1" s="279"/>
      <c r="F1" s="279"/>
      <c r="G1" s="279"/>
      <c r="H1" s="279"/>
      <c r="I1" s="279"/>
      <c r="J1" s="279"/>
      <c r="K1" s="279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</row>
    <row r="2" spans="1:31">
      <c r="A2" s="279"/>
      <c r="B2" s="279"/>
      <c r="C2" s="279"/>
      <c r="D2" s="279"/>
      <c r="E2" s="279"/>
      <c r="F2" s="279"/>
      <c r="G2" s="279"/>
      <c r="H2" s="279"/>
      <c r="I2" s="279"/>
      <c r="J2" s="279"/>
      <c r="K2" s="279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</row>
    <row r="3" spans="1:31">
      <c r="A3" s="149" t="str">
        <f>+'21'!A3</f>
        <v>AÑOS   2005  - 2014</v>
      </c>
      <c r="B3" s="279"/>
      <c r="C3" s="279"/>
      <c r="D3" s="279"/>
      <c r="E3" s="279"/>
      <c r="F3" s="279"/>
      <c r="G3" s="279"/>
      <c r="H3" s="279"/>
      <c r="I3" s="279"/>
      <c r="J3" s="279"/>
      <c r="K3" s="279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/>
      <c r="AC3" s="117"/>
      <c r="AD3" s="117"/>
      <c r="AE3" s="117"/>
    </row>
    <row r="4" spans="1:31">
      <c r="A4" s="117"/>
      <c r="B4" s="117"/>
      <c r="C4" s="117"/>
      <c r="D4" s="117"/>
      <c r="E4" s="117"/>
      <c r="F4" s="117"/>
      <c r="G4" s="117"/>
      <c r="H4" s="117"/>
      <c r="I4" s="117"/>
      <c r="J4" s="117"/>
      <c r="K4" s="117"/>
      <c r="L4" s="117"/>
      <c r="M4" s="117"/>
      <c r="N4" s="117"/>
      <c r="O4" s="117"/>
      <c r="P4" s="117"/>
      <c r="Q4" s="117"/>
      <c r="R4" s="117"/>
      <c r="S4" s="117"/>
      <c r="T4" s="117"/>
      <c r="U4" s="117"/>
      <c r="V4" s="117"/>
      <c r="W4" s="117"/>
      <c r="X4" s="117"/>
      <c r="Y4" s="117"/>
      <c r="Z4" s="117"/>
      <c r="AA4" s="117"/>
      <c r="AB4" s="117"/>
      <c r="AC4" s="117"/>
      <c r="AD4" s="117"/>
      <c r="AE4" s="117"/>
    </row>
    <row r="5" spans="1:31">
      <c r="A5" s="1"/>
      <c r="B5" s="117"/>
      <c r="C5" s="117"/>
      <c r="D5" s="117"/>
      <c r="E5" s="117"/>
      <c r="F5" s="117"/>
      <c r="G5" s="117"/>
      <c r="H5" s="117"/>
      <c r="I5" s="117"/>
      <c r="J5" s="117"/>
      <c r="K5" s="117"/>
      <c r="L5" s="117"/>
      <c r="M5" s="117"/>
      <c r="N5" s="117"/>
      <c r="O5" s="117"/>
      <c r="P5" s="117"/>
      <c r="Q5" s="117"/>
      <c r="R5" s="117"/>
      <c r="S5" s="117"/>
      <c r="T5" s="117"/>
      <c r="U5" s="117"/>
      <c r="V5" s="117"/>
      <c r="W5" s="117"/>
      <c r="X5" s="117"/>
      <c r="Y5" s="117"/>
      <c r="Z5" s="117"/>
      <c r="AA5" s="117"/>
      <c r="AB5" s="117"/>
      <c r="AC5" s="117"/>
      <c r="AD5" s="117"/>
      <c r="AE5" s="117"/>
    </row>
    <row r="6" spans="1:31" ht="20.25" customHeight="1">
      <c r="A6" s="89"/>
      <c r="B6" s="280"/>
      <c r="C6" s="281"/>
      <c r="D6" s="280"/>
      <c r="E6" s="281"/>
      <c r="F6" s="280"/>
      <c r="G6" s="281"/>
      <c r="H6" s="246"/>
      <c r="I6" s="87"/>
      <c r="J6" s="122" t="s">
        <v>708</v>
      </c>
      <c r="K6" s="122"/>
      <c r="L6" s="122"/>
      <c r="M6" s="122"/>
      <c r="N6" s="122"/>
      <c r="O6" s="122"/>
      <c r="P6" s="122"/>
      <c r="Q6" s="122"/>
      <c r="R6" s="122"/>
      <c r="S6" s="122"/>
      <c r="T6" s="122"/>
      <c r="U6" s="122"/>
      <c r="V6" s="122"/>
      <c r="W6" s="122"/>
      <c r="X6" s="122"/>
      <c r="Y6" s="122"/>
      <c r="Z6" s="122"/>
      <c r="AA6" s="122"/>
      <c r="AB6" s="122"/>
      <c r="AC6" s="122"/>
      <c r="AD6" s="87"/>
      <c r="AE6" s="88"/>
    </row>
    <row r="7" spans="1:31">
      <c r="A7" s="252"/>
      <c r="B7" s="204"/>
      <c r="C7" s="253"/>
      <c r="D7" s="204"/>
      <c r="E7" s="255"/>
      <c r="F7" s="217" t="s">
        <v>716</v>
      </c>
      <c r="G7" s="282"/>
      <c r="H7" s="187" t="s">
        <v>717</v>
      </c>
      <c r="I7" s="249"/>
      <c r="J7" s="250"/>
      <c r="K7" s="251"/>
      <c r="L7" s="250"/>
      <c r="M7" s="251"/>
      <c r="N7" s="250"/>
      <c r="O7" s="251"/>
      <c r="P7" s="250"/>
      <c r="Q7" s="251"/>
      <c r="R7" s="187" t="s">
        <v>717</v>
      </c>
      <c r="S7" s="249"/>
      <c r="T7" s="250"/>
      <c r="U7" s="251"/>
      <c r="V7" s="250"/>
      <c r="W7" s="251"/>
      <c r="X7" s="250"/>
      <c r="Y7" s="251"/>
      <c r="Z7" s="221"/>
      <c r="AA7" s="251"/>
      <c r="AB7" s="250"/>
      <c r="AC7" s="251"/>
      <c r="AD7" s="250"/>
      <c r="AE7" s="251"/>
    </row>
    <row r="8" spans="1:31" ht="18" customHeight="1">
      <c r="A8" s="252" t="s">
        <v>709</v>
      </c>
      <c r="B8" s="204" t="s">
        <v>714</v>
      </c>
      <c r="C8" s="204"/>
      <c r="D8" s="204" t="s">
        <v>715</v>
      </c>
      <c r="E8" s="253"/>
      <c r="F8" s="204" t="s">
        <v>718</v>
      </c>
      <c r="G8" s="253"/>
      <c r="H8" s="204" t="s">
        <v>699</v>
      </c>
      <c r="I8" s="253"/>
      <c r="J8" s="204" t="s">
        <v>699</v>
      </c>
      <c r="K8" s="253"/>
      <c r="L8" s="254" t="s">
        <v>480</v>
      </c>
      <c r="M8" s="255"/>
      <c r="N8" s="204" t="s">
        <v>720</v>
      </c>
      <c r="O8" s="253"/>
      <c r="P8" s="204" t="s">
        <v>483</v>
      </c>
      <c r="Q8" s="253"/>
      <c r="R8" s="204" t="s">
        <v>721</v>
      </c>
      <c r="S8" s="253"/>
      <c r="T8" s="204" t="s">
        <v>721</v>
      </c>
      <c r="U8" s="253"/>
      <c r="V8" s="204" t="s">
        <v>445</v>
      </c>
      <c r="W8" s="253"/>
      <c r="X8" s="204" t="s">
        <v>463</v>
      </c>
      <c r="Y8" s="253"/>
      <c r="Z8" s="204" t="s">
        <v>468</v>
      </c>
      <c r="AA8" s="253"/>
      <c r="AB8" s="204" t="s">
        <v>722</v>
      </c>
      <c r="AC8" s="253"/>
      <c r="AD8" s="204" t="s">
        <v>470</v>
      </c>
      <c r="AE8" s="253"/>
    </row>
    <row r="9" spans="1:31" ht="18.75" customHeight="1">
      <c r="A9" s="256"/>
      <c r="B9" s="257" t="s">
        <v>736</v>
      </c>
      <c r="C9" s="259" t="s">
        <v>737</v>
      </c>
      <c r="D9" s="257" t="s">
        <v>736</v>
      </c>
      <c r="E9" s="259" t="s">
        <v>737</v>
      </c>
      <c r="F9" s="257" t="s">
        <v>736</v>
      </c>
      <c r="G9" s="259" t="s">
        <v>737</v>
      </c>
      <c r="H9" s="257" t="s">
        <v>736</v>
      </c>
      <c r="I9" s="258" t="s">
        <v>737</v>
      </c>
      <c r="J9" s="257" t="s">
        <v>736</v>
      </c>
      <c r="K9" s="258" t="s">
        <v>737</v>
      </c>
      <c r="L9" s="257" t="s">
        <v>736</v>
      </c>
      <c r="M9" s="259" t="s">
        <v>737</v>
      </c>
      <c r="N9" s="257" t="s">
        <v>736</v>
      </c>
      <c r="O9" s="259" t="s">
        <v>737</v>
      </c>
      <c r="P9" s="257" t="s">
        <v>736</v>
      </c>
      <c r="Q9" s="259" t="s">
        <v>737</v>
      </c>
      <c r="R9" s="257" t="s">
        <v>736</v>
      </c>
      <c r="S9" s="258" t="s">
        <v>737</v>
      </c>
      <c r="T9" s="257" t="s">
        <v>736</v>
      </c>
      <c r="U9" s="259" t="s">
        <v>737</v>
      </c>
      <c r="V9" s="257" t="s">
        <v>736</v>
      </c>
      <c r="W9" s="259" t="s">
        <v>737</v>
      </c>
      <c r="X9" s="257" t="s">
        <v>736</v>
      </c>
      <c r="Y9" s="259" t="s">
        <v>737</v>
      </c>
      <c r="Z9" s="257" t="s">
        <v>736</v>
      </c>
      <c r="AA9" s="259" t="s">
        <v>737</v>
      </c>
      <c r="AB9" s="257" t="s">
        <v>736</v>
      </c>
      <c r="AC9" s="259" t="s">
        <v>737</v>
      </c>
      <c r="AD9" s="257" t="s">
        <v>736</v>
      </c>
      <c r="AE9" s="259" t="s">
        <v>737</v>
      </c>
    </row>
    <row r="10" spans="1:31">
      <c r="A10" s="186"/>
      <c r="B10" s="187"/>
      <c r="C10" s="249"/>
      <c r="D10" s="187"/>
      <c r="E10" s="249"/>
      <c r="F10" s="187"/>
      <c r="G10" s="249"/>
      <c r="H10" s="260"/>
      <c r="I10" s="260"/>
      <c r="J10" s="187"/>
      <c r="K10" s="249"/>
      <c r="L10" s="187"/>
      <c r="M10" s="249"/>
      <c r="N10" s="187"/>
      <c r="O10" s="249"/>
      <c r="P10" s="187"/>
      <c r="Q10" s="249"/>
      <c r="R10" s="260"/>
      <c r="S10" s="260"/>
      <c r="T10" s="187"/>
      <c r="U10" s="249"/>
      <c r="V10" s="187"/>
      <c r="W10" s="249"/>
      <c r="X10" s="187"/>
      <c r="Y10" s="249"/>
      <c r="Z10" s="187"/>
      <c r="AA10" s="249"/>
      <c r="AB10" s="187"/>
      <c r="AC10" s="249"/>
      <c r="AD10" s="260"/>
      <c r="AE10" s="249"/>
    </row>
    <row r="11" spans="1:31" ht="26.25" customHeight="1">
      <c r="A11" s="261">
        <f>+'21'!A11</f>
        <v>2005</v>
      </c>
      <c r="B11" s="207">
        <v>1009</v>
      </c>
      <c r="C11" s="275">
        <f>+B11/'17'!B11*1000</f>
        <v>4.1526051526874648</v>
      </c>
      <c r="D11" s="264">
        <v>93</v>
      </c>
      <c r="E11" s="274">
        <f>+D11/'17'!D11*1000</f>
        <v>3.9733401691873875</v>
      </c>
      <c r="F11" s="207">
        <f t="shared" ref="F11:F16" si="0">+J11+L11+N11+P11+T11+V11+X11+Z11+AB11+AD11</f>
        <v>12</v>
      </c>
      <c r="G11" s="274">
        <f>+F11/'17'!F11*1000</f>
        <v>3.2653061224489797</v>
      </c>
      <c r="H11" s="283">
        <f t="shared" ref="H11:H16" si="1">+J11+L11+N11+P11</f>
        <v>4</v>
      </c>
      <c r="I11" s="267">
        <f>+H11/'17'!H11*1000</f>
        <v>2.6246719160104988</v>
      </c>
      <c r="J11" s="207">
        <v>2</v>
      </c>
      <c r="K11" s="274">
        <f>+J11/'17'!J11*1000</f>
        <v>1.9230769230769231</v>
      </c>
      <c r="L11" s="264">
        <v>0</v>
      </c>
      <c r="M11" s="262">
        <f>+L11/'17'!L11*1000</f>
        <v>0</v>
      </c>
      <c r="N11" s="264">
        <v>1</v>
      </c>
      <c r="O11" s="274">
        <f>+N11/'17'!N11*1000</f>
        <v>6.7114093959731544</v>
      </c>
      <c r="P11" s="264">
        <v>1</v>
      </c>
      <c r="Q11" s="262">
        <f>+P11/'17'!P11*1000</f>
        <v>8.4745762711864412</v>
      </c>
      <c r="R11" s="208">
        <f t="shared" ref="R11:R16" si="2">+T11+V11+X11+Z11+AB11+AD11</f>
        <v>8</v>
      </c>
      <c r="S11" s="277">
        <f>+R11/'17'!R11*1000</f>
        <v>3.7192003719200373</v>
      </c>
      <c r="T11" s="207">
        <v>6</v>
      </c>
      <c r="U11" s="274">
        <f>+T11/'17'!T11*1000</f>
        <v>5.208333333333333</v>
      </c>
      <c r="V11" s="264">
        <v>0</v>
      </c>
      <c r="W11" s="274">
        <f>+V11/'17'!V11*1000</f>
        <v>0</v>
      </c>
      <c r="X11" s="264">
        <v>0</v>
      </c>
      <c r="Y11" s="274">
        <f>+X11/'17'!X11*1000</f>
        <v>0</v>
      </c>
      <c r="Z11" s="264">
        <v>0</v>
      </c>
      <c r="AA11" s="274">
        <f>+Z11/'17'!Z11*1000</f>
        <v>0</v>
      </c>
      <c r="AB11" s="264">
        <v>2</v>
      </c>
      <c r="AC11" s="262">
        <f>+AB11/'17'!AB11*1000</f>
        <v>6.1162079510703364</v>
      </c>
      <c r="AD11" s="265">
        <v>0</v>
      </c>
      <c r="AE11" s="262">
        <f>+AD11/'17'!AD11*1000</f>
        <v>0</v>
      </c>
    </row>
    <row r="12" spans="1:31" ht="26.25" customHeight="1">
      <c r="A12" s="261">
        <f>+'21'!A12</f>
        <v>2006</v>
      </c>
      <c r="B12" s="207">
        <v>995</v>
      </c>
      <c r="C12" s="275">
        <f>+B12/'17'!B12*1000</f>
        <v>4.0852188979352198</v>
      </c>
      <c r="D12" s="264">
        <v>92</v>
      </c>
      <c r="E12" s="274">
        <f>+D12/'17'!D12*1000</f>
        <v>4.0327883224477272</v>
      </c>
      <c r="F12" s="207">
        <f t="shared" si="0"/>
        <v>15</v>
      </c>
      <c r="G12" s="274">
        <f>+F12/'17'!F12*1000</f>
        <v>4.2396834369700391</v>
      </c>
      <c r="H12" s="283">
        <f t="shared" si="1"/>
        <v>4</v>
      </c>
      <c r="I12" s="267">
        <f>+H12/'17'!H12*1000</f>
        <v>2.834868887313962</v>
      </c>
      <c r="J12" s="207">
        <v>4</v>
      </c>
      <c r="K12" s="274">
        <f>+J12/'17'!J12*1000</f>
        <v>4.2964554242749733</v>
      </c>
      <c r="L12" s="264">
        <v>0</v>
      </c>
      <c r="M12" s="262">
        <f>+L12/'17'!L12*1000</f>
        <v>0</v>
      </c>
      <c r="N12" s="264">
        <v>0</v>
      </c>
      <c r="O12" s="274">
        <f>+N12/'17'!N12*1000</f>
        <v>0</v>
      </c>
      <c r="P12" s="264">
        <v>0</v>
      </c>
      <c r="Q12" s="262">
        <f>+P12/'17'!P12*1000</f>
        <v>0</v>
      </c>
      <c r="R12" s="208">
        <f t="shared" si="2"/>
        <v>11</v>
      </c>
      <c r="S12" s="277">
        <f>+R12/'17'!R12*1000</f>
        <v>5.1716031969910672</v>
      </c>
      <c r="T12" s="207">
        <v>3</v>
      </c>
      <c r="U12" s="274">
        <f>+T12/'17'!T12*1000</f>
        <v>2.6737967914438503</v>
      </c>
      <c r="V12" s="264">
        <v>4</v>
      </c>
      <c r="W12" s="274">
        <f>+V12/'17'!V12*1000</f>
        <v>21.164021164021165</v>
      </c>
      <c r="X12" s="264">
        <v>0</v>
      </c>
      <c r="Y12" s="274">
        <f>+X12/'17'!X12*1000</f>
        <v>0</v>
      </c>
      <c r="Z12" s="264">
        <v>0</v>
      </c>
      <c r="AA12" s="274">
        <f>+Z12/'17'!Z12*1000</f>
        <v>0</v>
      </c>
      <c r="AB12" s="264">
        <v>3</v>
      </c>
      <c r="AC12" s="262">
        <f>+AB12/'17'!AB12*1000</f>
        <v>8.9285714285714288</v>
      </c>
      <c r="AD12" s="265">
        <v>1</v>
      </c>
      <c r="AE12" s="262">
        <f>+AD12/'17'!AD12*1000</f>
        <v>5.1546391752577323</v>
      </c>
    </row>
    <row r="13" spans="1:31" ht="26.25" customHeight="1">
      <c r="A13" s="261">
        <f>+'21'!A13</f>
        <v>2007</v>
      </c>
      <c r="B13" s="207">
        <v>1049</v>
      </c>
      <c r="C13" s="275">
        <f>+B13/'17'!B13*1000</f>
        <v>4.3337437100812215</v>
      </c>
      <c r="D13" s="264">
        <v>114</v>
      </c>
      <c r="E13" s="274">
        <f>+D13/'17'!D13*1000</f>
        <v>4.9973698053655973</v>
      </c>
      <c r="F13" s="207">
        <f t="shared" si="0"/>
        <v>23</v>
      </c>
      <c r="G13" s="274">
        <f>+F13/'17'!F13*1000</f>
        <v>6.3711911357340725</v>
      </c>
      <c r="H13" s="283">
        <f t="shared" si="1"/>
        <v>6</v>
      </c>
      <c r="I13" s="267">
        <f>+H13/'17'!H13*1000</f>
        <v>4.160887656033287</v>
      </c>
      <c r="J13" s="207">
        <v>3</v>
      </c>
      <c r="K13" s="274">
        <f>+J13/'17'!J13*1000</f>
        <v>3.0549898167006111</v>
      </c>
      <c r="L13" s="264">
        <v>2</v>
      </c>
      <c r="M13" s="262">
        <f>+L13/'17'!L13*1000</f>
        <v>9.5238095238095255</v>
      </c>
      <c r="N13" s="264">
        <v>1</v>
      </c>
      <c r="O13" s="274">
        <f>+N13/'17'!N13*1000</f>
        <v>6.666666666666667</v>
      </c>
      <c r="P13" s="264">
        <v>0</v>
      </c>
      <c r="Q13" s="262">
        <f>+P13/'17'!P13*1000</f>
        <v>0</v>
      </c>
      <c r="R13" s="208">
        <f t="shared" si="2"/>
        <v>17</v>
      </c>
      <c r="S13" s="277">
        <f>+R13/'17'!R13*1000</f>
        <v>7.8413284132841321</v>
      </c>
      <c r="T13" s="207">
        <v>9</v>
      </c>
      <c r="U13" s="274">
        <f>+T13/'17'!T13*1000</f>
        <v>7.4503311258278142</v>
      </c>
      <c r="V13" s="264">
        <v>3</v>
      </c>
      <c r="W13" s="274">
        <f>+V13/'17'!V13*1000</f>
        <v>15.789473684210527</v>
      </c>
      <c r="X13" s="264">
        <v>1</v>
      </c>
      <c r="Y13" s="274">
        <f>+X13/'17'!X13*1000</f>
        <v>4.9751243781094523</v>
      </c>
      <c r="Z13" s="264">
        <v>0</v>
      </c>
      <c r="AA13" s="274">
        <f>+Z13/'17'!Z13*1000</f>
        <v>0</v>
      </c>
      <c r="AB13" s="264">
        <v>4</v>
      </c>
      <c r="AC13" s="262">
        <f>+AB13/'17'!AB13*1000</f>
        <v>13.029315960912053</v>
      </c>
      <c r="AD13" s="265">
        <v>0</v>
      </c>
      <c r="AE13" s="262">
        <f>+AD13/'17'!AD13*1000</f>
        <v>0</v>
      </c>
    </row>
    <row r="14" spans="1:31" ht="26.25" customHeight="1">
      <c r="A14" s="261">
        <f>+'21'!A14</f>
        <v>2008</v>
      </c>
      <c r="B14" s="207">
        <v>1122</v>
      </c>
      <c r="C14" s="275">
        <f>+B14/'17'!B14*1000</f>
        <v>4.5175265535540294</v>
      </c>
      <c r="D14" s="264">
        <v>99</v>
      </c>
      <c r="E14" s="274">
        <f>+D14/'17'!D14*1000</f>
        <v>4.2666896522001467</v>
      </c>
      <c r="F14" s="207">
        <f t="shared" si="0"/>
        <v>16</v>
      </c>
      <c r="G14" s="274">
        <f>+F14/'17'!F14*1000</f>
        <v>4.3632397054813197</v>
      </c>
      <c r="H14" s="283">
        <f t="shared" si="1"/>
        <v>10</v>
      </c>
      <c r="I14" s="267">
        <f>+H14/'17'!H14*1000</f>
        <v>6.7888662593346911</v>
      </c>
      <c r="J14" s="207">
        <v>6</v>
      </c>
      <c r="K14" s="274">
        <f>+J14/'17'!J14*1000</f>
        <v>6.2176165803108807</v>
      </c>
      <c r="L14" s="264">
        <v>1</v>
      </c>
      <c r="M14" s="262">
        <f>+L14/'17'!L14*1000</f>
        <v>4.0983606557377055</v>
      </c>
      <c r="N14" s="264">
        <v>3</v>
      </c>
      <c r="O14" s="274">
        <f>+N14/'17'!N14*1000</f>
        <v>19.736842105263158</v>
      </c>
      <c r="P14" s="264">
        <v>0</v>
      </c>
      <c r="Q14" s="262">
        <f>+P14/'17'!P14*1000</f>
        <v>0</v>
      </c>
      <c r="R14" s="208">
        <f t="shared" si="2"/>
        <v>6</v>
      </c>
      <c r="S14" s="277">
        <f>+R14/'17'!R14*1000</f>
        <v>2.7347310847766639</v>
      </c>
      <c r="T14" s="207">
        <v>4</v>
      </c>
      <c r="U14" s="274">
        <f>+T14/'17'!T14*1000</f>
        <v>3.3557046979865772</v>
      </c>
      <c r="V14" s="264">
        <v>0</v>
      </c>
      <c r="W14" s="274">
        <f>+V14/'17'!V14*1000</f>
        <v>0</v>
      </c>
      <c r="X14" s="264">
        <v>0</v>
      </c>
      <c r="Y14" s="274">
        <f>+X14/'17'!X14*1000</f>
        <v>0</v>
      </c>
      <c r="Z14" s="264">
        <v>0</v>
      </c>
      <c r="AA14" s="274">
        <f>+Z14/'17'!Z14*1000</f>
        <v>0</v>
      </c>
      <c r="AB14" s="264">
        <v>0</v>
      </c>
      <c r="AC14" s="262">
        <f>+AB14/'17'!AB14*1000</f>
        <v>0</v>
      </c>
      <c r="AD14" s="265">
        <v>2</v>
      </c>
      <c r="AE14" s="262">
        <f>+AD14/'17'!AD14*1000</f>
        <v>10.256410256410257</v>
      </c>
    </row>
    <row r="15" spans="1:31" ht="26.25" customHeight="1">
      <c r="A15" s="261">
        <f>+'21'!A15</f>
        <v>2009</v>
      </c>
      <c r="B15" s="207">
        <v>1065</v>
      </c>
      <c r="C15" s="275">
        <f>+B15/'17'!B15*1000</f>
        <v>4.2221693625118935</v>
      </c>
      <c r="D15" s="264">
        <v>105</v>
      </c>
      <c r="E15" s="274">
        <f>+D15/'17'!D15*1000</f>
        <v>4.4238466399831475</v>
      </c>
      <c r="F15" s="207">
        <f t="shared" si="0"/>
        <v>14</v>
      </c>
      <c r="G15" s="274">
        <f>+F15/'17'!F15*1000</f>
        <v>3.7817396002160995</v>
      </c>
      <c r="H15" s="283">
        <f t="shared" si="1"/>
        <v>6</v>
      </c>
      <c r="I15" s="267">
        <f>+H15/'17'!H15*1000</f>
        <v>3.9113428943937421</v>
      </c>
      <c r="J15" s="207">
        <v>4</v>
      </c>
      <c r="K15" s="274">
        <f>+J15/'17'!J15*1000</f>
        <v>4.060913705583757</v>
      </c>
      <c r="L15" s="264">
        <v>0</v>
      </c>
      <c r="M15" s="262">
        <f>+L15/'17'!L15*1000</f>
        <v>0</v>
      </c>
      <c r="N15" s="264">
        <v>2</v>
      </c>
      <c r="O15" s="274">
        <f>+N15/'17'!N15*1000</f>
        <v>12.820512820512819</v>
      </c>
      <c r="P15" s="264">
        <v>0</v>
      </c>
      <c r="Q15" s="262">
        <f>+P15/'17'!P15*1000</f>
        <v>0</v>
      </c>
      <c r="R15" s="208">
        <f t="shared" si="2"/>
        <v>8</v>
      </c>
      <c r="S15" s="277">
        <f>+R15/'17'!R15*1000</f>
        <v>3.6900369003690034</v>
      </c>
      <c r="T15" s="207">
        <v>6</v>
      </c>
      <c r="U15" s="274">
        <f>+T15/'17'!T15*1000</f>
        <v>5.1325919589392646</v>
      </c>
      <c r="V15" s="264">
        <v>1</v>
      </c>
      <c r="W15" s="274">
        <f>+V15/'17'!V15*1000</f>
        <v>4.9261083743842367</v>
      </c>
      <c r="X15" s="264">
        <v>0</v>
      </c>
      <c r="Y15" s="274">
        <f>+X15/'17'!X15*1000</f>
        <v>0</v>
      </c>
      <c r="Z15" s="264">
        <v>1</v>
      </c>
      <c r="AA15" s="274">
        <f>+Z15/'17'!Z15*1000</f>
        <v>9.9009900990099009</v>
      </c>
      <c r="AB15" s="264">
        <v>0</v>
      </c>
      <c r="AC15" s="262">
        <f>+AB15/'17'!AB15*1000</f>
        <v>0</v>
      </c>
      <c r="AD15" s="265">
        <v>0</v>
      </c>
      <c r="AE15" s="262">
        <f>+AD15/'17'!AD15*1000</f>
        <v>0</v>
      </c>
    </row>
    <row r="16" spans="1:31" ht="26.25" customHeight="1">
      <c r="A16" s="261">
        <f>+'21'!A16</f>
        <v>2010</v>
      </c>
      <c r="B16" s="207">
        <v>988</v>
      </c>
      <c r="C16" s="275">
        <f>+B16/'17'!B16*1000</f>
        <v>3.9331366764995086</v>
      </c>
      <c r="D16" s="264">
        <v>89</v>
      </c>
      <c r="E16" s="274">
        <f>+D16/'17'!D16*1000</f>
        <v>3.7363560033585226</v>
      </c>
      <c r="F16" s="207">
        <f t="shared" si="0"/>
        <v>25</v>
      </c>
      <c r="G16" s="274">
        <f>+F16/'17'!F16*1000</f>
        <v>6.3678043810494147</v>
      </c>
      <c r="H16" s="283">
        <f t="shared" si="1"/>
        <v>10</v>
      </c>
      <c r="I16" s="267">
        <f>+H16/'17'!H16*1000</f>
        <v>6.0204695966285371</v>
      </c>
      <c r="J16" s="207">
        <v>6</v>
      </c>
      <c r="K16" s="274">
        <f>+J16/'17'!J16*1000</f>
        <v>5.644402634054563</v>
      </c>
      <c r="L16" s="264">
        <v>1</v>
      </c>
      <c r="M16" s="262">
        <f>+L16/'17'!L16*1000</f>
        <v>4.0160642570281118</v>
      </c>
      <c r="N16" s="264">
        <v>3</v>
      </c>
      <c r="O16" s="274">
        <f>+N16/'17'!N16*1000</f>
        <v>16.129032258064516</v>
      </c>
      <c r="P16" s="264">
        <v>0</v>
      </c>
      <c r="Q16" s="262">
        <f>+P16/'17'!P16*1000</f>
        <v>0</v>
      </c>
      <c r="R16" s="208">
        <f t="shared" si="2"/>
        <v>15</v>
      </c>
      <c r="S16" s="277">
        <f>+R16/'17'!R16*1000</f>
        <v>6.6225165562913908</v>
      </c>
      <c r="T16" s="207">
        <v>8</v>
      </c>
      <c r="U16" s="274">
        <f>+T16/'17'!T16*1000</f>
        <v>6.5735414954806899</v>
      </c>
      <c r="V16" s="264">
        <v>1</v>
      </c>
      <c r="W16" s="274">
        <f>+V16/'17'!V16*1000</f>
        <v>5.2631578947368416</v>
      </c>
      <c r="X16" s="264">
        <v>2</v>
      </c>
      <c r="Y16" s="274">
        <f>+X16/'17'!X16*1000</f>
        <v>10.362694300518134</v>
      </c>
      <c r="Z16" s="264">
        <v>1</v>
      </c>
      <c r="AA16" s="274">
        <f>+Z16/'17'!Z16*1000</f>
        <v>9.5238095238095255</v>
      </c>
      <c r="AB16" s="264">
        <v>2</v>
      </c>
      <c r="AC16" s="262">
        <f>+AB16/'17'!AB16*1000</f>
        <v>6.0606060606060606</v>
      </c>
      <c r="AD16" s="265">
        <v>1</v>
      </c>
      <c r="AE16" s="262">
        <f>+AD16/'17'!AD16*1000</f>
        <v>4.3478260869565215</v>
      </c>
    </row>
    <row r="17" spans="1:31" ht="26.25" customHeight="1">
      <c r="A17" s="261">
        <f>+'21'!A17</f>
        <v>2011</v>
      </c>
      <c r="B17" s="207">
        <v>1068</v>
      </c>
      <c r="C17" s="275">
        <f>+B17/'17'!B17*1000</f>
        <v>4.2912419288087786</v>
      </c>
      <c r="D17" s="264">
        <v>88</v>
      </c>
      <c r="E17" s="274">
        <f>+D17/'17'!D17*1000</f>
        <v>3.7140204271123491</v>
      </c>
      <c r="F17" s="207">
        <f>+J17+L17+N17+P17+T17+V17+X17+Z17+AB17+AD17</f>
        <v>19</v>
      </c>
      <c r="G17" s="274">
        <f>+F17/'17'!F17*1000</f>
        <v>5.1379123850730126</v>
      </c>
      <c r="H17" s="283">
        <f>+J17+L17+N17+P17</f>
        <v>8</v>
      </c>
      <c r="I17" s="267">
        <f>+H17/'17'!H17*1000</f>
        <v>5.2945069490403709</v>
      </c>
      <c r="J17" s="207">
        <v>4</v>
      </c>
      <c r="K17" s="274">
        <f>+J17/'17'!J17*1000</f>
        <v>4.1279669762641893</v>
      </c>
      <c r="L17" s="264">
        <v>3</v>
      </c>
      <c r="M17" s="262">
        <f>+L17/'17'!L17*1000</f>
        <v>12.931034482758621</v>
      </c>
      <c r="N17" s="264">
        <v>0</v>
      </c>
      <c r="O17" s="274">
        <f>+N17/'17'!N17*1000</f>
        <v>0</v>
      </c>
      <c r="P17" s="264">
        <v>1</v>
      </c>
      <c r="Q17" s="262">
        <f>+P17/'17'!P17*1000</f>
        <v>6.9930069930069934</v>
      </c>
      <c r="R17" s="208">
        <f>+T17+V17+X17+Z17+AB17+AD17</f>
        <v>11</v>
      </c>
      <c r="S17" s="277">
        <f>+R17/'17'!R17*1000</f>
        <v>5.0297210791037958</v>
      </c>
      <c r="T17" s="207">
        <v>6</v>
      </c>
      <c r="U17" s="274">
        <f>+T17/'17'!T17*1000</f>
        <v>5.3571428571428568</v>
      </c>
      <c r="V17" s="264">
        <v>2</v>
      </c>
      <c r="W17" s="274">
        <f>+V17/'17'!V17*1000</f>
        <v>9.3896713615023479</v>
      </c>
      <c r="X17" s="264">
        <v>1</v>
      </c>
      <c r="Y17" s="274">
        <f>+X17/'17'!X17*1000</f>
        <v>3.9682539682539679</v>
      </c>
      <c r="Z17" s="264">
        <v>0</v>
      </c>
      <c r="AA17" s="274">
        <f>+Z17/'17'!Z17*1000</f>
        <v>0</v>
      </c>
      <c r="AB17" s="264">
        <v>2</v>
      </c>
      <c r="AC17" s="262">
        <f>+AB17/'17'!AB17*1000</f>
        <v>6.1728395061728394</v>
      </c>
      <c r="AD17" s="265">
        <v>0</v>
      </c>
      <c r="AE17" s="262">
        <f>+AD17/'17'!AD17*1000</f>
        <v>0</v>
      </c>
    </row>
    <row r="18" spans="1:31" ht="26.25" customHeight="1">
      <c r="A18" s="261">
        <f>+'21'!A18</f>
        <v>2012</v>
      </c>
      <c r="B18" s="207"/>
      <c r="C18" s="275"/>
      <c r="D18" s="264"/>
      <c r="E18" s="274"/>
      <c r="F18" s="207">
        <f>+J18+L18+N18+P18+T18+V18+X18+Z18+AB18+AD18</f>
        <v>17</v>
      </c>
      <c r="G18" s="274">
        <f>+F18/'17'!F18*1000</f>
        <v>4.6831955922865012</v>
      </c>
      <c r="H18" s="283">
        <f>+J18+L18+N18+P18</f>
        <v>8</v>
      </c>
      <c r="I18" s="267">
        <f>+H18/'17'!H18*1000</f>
        <v>5.5286800276434001</v>
      </c>
      <c r="J18" s="207">
        <v>7</v>
      </c>
      <c r="K18" s="274">
        <f>+J18/'17'!J18*1000</f>
        <v>7.454739084132056</v>
      </c>
      <c r="L18" s="264"/>
      <c r="M18" s="262">
        <f>+L18/'17'!L18*1000</f>
        <v>0</v>
      </c>
      <c r="N18" s="264">
        <v>1</v>
      </c>
      <c r="O18" s="274">
        <f>+N18/'17'!N18*1000</f>
        <v>6.4935064935064943</v>
      </c>
      <c r="P18" s="264"/>
      <c r="Q18" s="262">
        <f>+P18/'17'!P18*1000</f>
        <v>0</v>
      </c>
      <c r="R18" s="208">
        <f>+T18+V18+X18+Z18+AB18+AD18</f>
        <v>9</v>
      </c>
      <c r="S18" s="277">
        <f>+R18/'17'!R18*1000</f>
        <v>4.1227668346312418</v>
      </c>
      <c r="T18" s="207">
        <v>7</v>
      </c>
      <c r="U18" s="274">
        <f>+T18/'17'!T18*1000</f>
        <v>6.0975609756097562</v>
      </c>
      <c r="V18" s="264">
        <v>1</v>
      </c>
      <c r="W18" s="274">
        <f>+V18/'17'!V18*1000</f>
        <v>5.025125628140704</v>
      </c>
      <c r="X18" s="264">
        <v>1</v>
      </c>
      <c r="Y18" s="274">
        <f>+X18/'17'!X18*1000</f>
        <v>5.4945054945054945</v>
      </c>
      <c r="Z18" s="264"/>
      <c r="AA18" s="274">
        <f>+Z18/'17'!Z18*1000</f>
        <v>0</v>
      </c>
      <c r="AB18" s="264"/>
      <c r="AC18" s="262">
        <f>+AB18/'17'!AB18*1000</f>
        <v>0</v>
      </c>
      <c r="AD18" s="265"/>
      <c r="AE18" s="262">
        <f>+AD18/'17'!AD18*1000</f>
        <v>0</v>
      </c>
    </row>
    <row r="19" spans="1:31" ht="26.25" customHeight="1">
      <c r="A19" s="261">
        <f>+'21'!A19</f>
        <v>2013</v>
      </c>
      <c r="B19" s="207"/>
      <c r="C19" s="275"/>
      <c r="D19" s="264"/>
      <c r="E19" s="274"/>
      <c r="F19" s="207">
        <f>+J19+L19+N19+P19+T19+V19+X19+Z19+AB19+AD19</f>
        <v>11</v>
      </c>
      <c r="G19" s="274">
        <f>+F19/'17'!F19*1000</f>
        <v>3.1179138321995468</v>
      </c>
      <c r="H19" s="283">
        <f>+J19+L19+N19+P19</f>
        <v>5</v>
      </c>
      <c r="I19" s="267">
        <f>+H19/'17'!H19*1000</f>
        <v>3.4293552812071328</v>
      </c>
      <c r="J19" s="207">
        <v>4</v>
      </c>
      <c r="K19" s="274">
        <f>+J19/'17'!J19*1000</f>
        <v>4.3907793633369927</v>
      </c>
      <c r="L19" s="264">
        <v>1</v>
      </c>
      <c r="M19" s="262">
        <f>+L19/'17'!L19*1000</f>
        <v>3.9840637450199203</v>
      </c>
      <c r="N19" s="264"/>
      <c r="O19" s="274">
        <f>+N19/'17'!N19*1000</f>
        <v>0</v>
      </c>
      <c r="P19" s="264"/>
      <c r="Q19" s="262">
        <f>+P19/'17'!P19*1000</f>
        <v>0</v>
      </c>
      <c r="R19" s="208">
        <f>+T19+V19+X19+Z19+AB19+AD19</f>
        <v>6</v>
      </c>
      <c r="S19" s="277">
        <f>+R19/'17'!R19*1000</f>
        <v>2.8985507246376812</v>
      </c>
      <c r="T19" s="207">
        <v>3</v>
      </c>
      <c r="U19" s="274">
        <f>+T19/'17'!T19*1000</f>
        <v>2.9527559055118111</v>
      </c>
      <c r="V19" s="264">
        <v>1</v>
      </c>
      <c r="W19" s="274">
        <f>+V19/'17'!V19*1000</f>
        <v>4.7846889952153111</v>
      </c>
      <c r="X19" s="264"/>
      <c r="Y19" s="274">
        <f>+X19/'17'!X19*1000</f>
        <v>0</v>
      </c>
      <c r="Z19" s="264">
        <v>1</v>
      </c>
      <c r="AA19" s="274">
        <f>+Z19/'17'!Z19*1000</f>
        <v>11.235955056179774</v>
      </c>
      <c r="AB19" s="264">
        <v>1</v>
      </c>
      <c r="AC19" s="262">
        <f>+AB19/'17'!AB19*1000</f>
        <v>2.7777777777777777</v>
      </c>
      <c r="AD19" s="265"/>
      <c r="AE19" s="262">
        <f>+AD19/'17'!AD19*1000</f>
        <v>0</v>
      </c>
    </row>
    <row r="20" spans="1:31" ht="26.25" customHeight="1">
      <c r="A20" s="261">
        <f>+'21'!A20</f>
        <v>2014</v>
      </c>
      <c r="B20" s="207"/>
      <c r="C20" s="275"/>
      <c r="D20" s="264"/>
      <c r="E20" s="274"/>
      <c r="F20" s="207">
        <f>+J20+L20+N20+P20+T20+V20+X20+Z20+AB20+AD20</f>
        <v>13</v>
      </c>
      <c r="G20" s="274">
        <f>+F20/'17'!F20*1000</f>
        <v>3.4638955502264852</v>
      </c>
      <c r="H20" s="283">
        <f>+J20+L20+N20+P20</f>
        <v>2</v>
      </c>
      <c r="I20" s="267">
        <f>+H20/'17'!H20*1000</f>
        <v>1.2812299807815501</v>
      </c>
      <c r="J20" s="207"/>
      <c r="K20" s="274">
        <f>+J20/'17'!J20*1000</f>
        <v>0</v>
      </c>
      <c r="L20" s="264">
        <v>1</v>
      </c>
      <c r="M20" s="262">
        <f>+L20/'17'!L20*1000</f>
        <v>3.9370078740157481</v>
      </c>
      <c r="N20" s="264"/>
      <c r="O20" s="274">
        <f>+N20/'17'!N20*1000</f>
        <v>0</v>
      </c>
      <c r="P20" s="264">
        <v>1</v>
      </c>
      <c r="Q20" s="262">
        <f>+P20/'17'!P20*1000</f>
        <v>7.5757575757575761</v>
      </c>
      <c r="R20" s="208">
        <f>+T20+V20+X20+Z20+AB20+AD20</f>
        <v>11</v>
      </c>
      <c r="S20" s="277">
        <f>+R20/'17'!R20*1000</f>
        <v>5.0182481751824817</v>
      </c>
      <c r="T20" s="207">
        <v>7</v>
      </c>
      <c r="U20" s="274">
        <f>+T20/'17'!T20*1000</f>
        <v>6.3578564940962767</v>
      </c>
      <c r="V20" s="264">
        <v>2</v>
      </c>
      <c r="W20" s="274">
        <f>+V20/'17'!V20*1000</f>
        <v>10.309278350515465</v>
      </c>
      <c r="X20" s="264"/>
      <c r="Y20" s="274">
        <f>+X20/'17'!X20*1000</f>
        <v>0</v>
      </c>
      <c r="Z20" s="264">
        <v>1</v>
      </c>
      <c r="AA20" s="274">
        <f>+Z20/'17'!Z20*1000</f>
        <v>8.695652173913043</v>
      </c>
      <c r="AB20" s="264">
        <v>1</v>
      </c>
      <c r="AC20" s="262">
        <f>+AB20/'17'!AB20*1000</f>
        <v>2.5510204081632653</v>
      </c>
      <c r="AD20" s="265"/>
      <c r="AE20" s="262">
        <f>+AD20/'17'!AD20*1000</f>
        <v>0</v>
      </c>
    </row>
    <row r="21" spans="1:31" ht="18.75" customHeight="1">
      <c r="A21" s="268"/>
      <c r="B21" s="284"/>
      <c r="C21" s="285"/>
      <c r="D21" s="284"/>
      <c r="E21" s="269"/>
      <c r="F21" s="213"/>
      <c r="G21" s="269"/>
      <c r="H21" s="270"/>
      <c r="I21" s="270"/>
      <c r="J21" s="210"/>
      <c r="K21" s="269"/>
      <c r="L21" s="210"/>
      <c r="M21" s="285"/>
      <c r="N21" s="210"/>
      <c r="O21" s="269"/>
      <c r="P21" s="210"/>
      <c r="Q21" s="269"/>
      <c r="R21" s="270"/>
      <c r="S21" s="270"/>
      <c r="T21" s="284"/>
      <c r="U21" s="269"/>
      <c r="V21" s="210"/>
      <c r="W21" s="285"/>
      <c r="X21" s="210"/>
      <c r="Y21" s="269"/>
      <c r="Z21" s="210"/>
      <c r="AA21" s="269"/>
      <c r="AB21" s="210"/>
      <c r="AC21" s="285"/>
      <c r="AD21" s="270"/>
      <c r="AE21" s="269"/>
    </row>
    <row r="22" spans="1:31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203"/>
      <c r="V22" s="1"/>
      <c r="W22" s="1"/>
      <c r="X22" s="1"/>
      <c r="Y22" s="1"/>
      <c r="Z22" s="1"/>
      <c r="AA22" s="1"/>
      <c r="AB22" s="1"/>
      <c r="AC22" s="1"/>
      <c r="AD22" s="1"/>
      <c r="AE22" s="1"/>
    </row>
    <row r="23" spans="1:31">
      <c r="A23" s="1"/>
      <c r="B23" s="221" t="str">
        <f>+'17'!B22</f>
        <v>AÑO   2014  :   DATOS POR OCURRENCIA   (Provisorios)</v>
      </c>
      <c r="C23" s="271"/>
      <c r="D23" s="271"/>
      <c r="E23" s="271"/>
      <c r="F23" s="271"/>
      <c r="G23" s="172"/>
      <c r="H23" s="172"/>
      <c r="I23" s="172"/>
      <c r="J23" s="172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</row>
    <row r="24" spans="1:31">
      <c r="A24" s="1"/>
      <c r="B24" s="217"/>
      <c r="C24" s="221" t="s">
        <v>744</v>
      </c>
      <c r="D24" s="221"/>
      <c r="E24" s="217"/>
      <c r="F24" s="217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</row>
    <row r="25" spans="1:31">
      <c r="A25" s="1"/>
      <c r="B25" s="217"/>
      <c r="C25" s="217"/>
      <c r="D25" s="217"/>
      <c r="E25" s="217"/>
      <c r="F25" s="217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</row>
  </sheetData>
  <phoneticPr fontId="19" type="noConversion"/>
  <pageMargins left="0.78740157480314965" right="0.59055118110236227" top="1.5748031496062993" bottom="0.59055118110236227" header="0.51181102362204722" footer="0.51181102362204722"/>
  <pageSetup paperSize="5" scale="90" orientation="landscape" horizontalDpi="300" verticalDpi="3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G21"/>
  <sheetViews>
    <sheetView showGridLines="0" topLeftCell="A4" workbookViewId="0">
      <selection activeCell="A4" sqref="A4"/>
    </sheetView>
  </sheetViews>
  <sheetFormatPr baseColWidth="10" defaultRowHeight="12.75"/>
  <sheetData>
    <row r="5" spans="1:7">
      <c r="F5" s="175"/>
    </row>
    <row r="10" spans="1:7" ht="23.25">
      <c r="A10" s="174" t="s">
        <v>691</v>
      </c>
      <c r="B10" s="176"/>
      <c r="C10" s="177"/>
      <c r="D10" s="177"/>
      <c r="E10" s="177"/>
      <c r="F10" s="178"/>
      <c r="G10" s="1"/>
    </row>
    <row r="11" spans="1:7" ht="23.25">
      <c r="A11" s="174"/>
      <c r="B11" s="176"/>
      <c r="C11" s="177"/>
      <c r="D11" s="177"/>
      <c r="E11" s="177"/>
      <c r="F11" s="178"/>
      <c r="G11" s="1"/>
    </row>
    <row r="12" spans="1:7" ht="23.25">
      <c r="A12" s="174"/>
      <c r="B12" s="176"/>
      <c r="C12" s="177"/>
      <c r="D12" s="177"/>
      <c r="E12" s="177"/>
      <c r="F12" s="178"/>
      <c r="G12" s="1"/>
    </row>
    <row r="13" spans="1:7" ht="23.25">
      <c r="A13" s="174"/>
      <c r="B13" s="176"/>
      <c r="C13" s="177"/>
      <c r="D13" s="177"/>
      <c r="E13" s="177"/>
      <c r="F13" s="178"/>
      <c r="G13" s="1"/>
    </row>
    <row r="14" spans="1:7" ht="23.25">
      <c r="A14" s="174" t="s">
        <v>692</v>
      </c>
      <c r="B14" s="176"/>
      <c r="C14" s="177"/>
      <c r="D14" s="177"/>
      <c r="E14" s="177"/>
      <c r="F14" s="178"/>
      <c r="G14" s="1"/>
    </row>
    <row r="15" spans="1:7" ht="23.25">
      <c r="A15" s="179"/>
      <c r="B15" s="176"/>
      <c r="C15" s="177"/>
      <c r="D15" s="177"/>
      <c r="E15" s="177"/>
      <c r="F15" s="178"/>
      <c r="G15" s="1"/>
    </row>
    <row r="16" spans="1:7" ht="23.25">
      <c r="A16" s="179"/>
      <c r="B16" s="180"/>
      <c r="C16" s="180"/>
      <c r="D16" s="180"/>
      <c r="E16" s="180"/>
      <c r="F16" s="1"/>
      <c r="G16" s="1"/>
    </row>
    <row r="17" spans="1:7" ht="23.25">
      <c r="A17" s="179"/>
      <c r="B17" s="180"/>
      <c r="C17" s="180"/>
      <c r="D17" s="180"/>
      <c r="E17" s="180"/>
      <c r="F17" s="1"/>
      <c r="G17" s="1"/>
    </row>
    <row r="18" spans="1:7" ht="23.25">
      <c r="A18" s="174" t="s">
        <v>693</v>
      </c>
      <c r="B18" s="180"/>
      <c r="C18" s="180"/>
      <c r="D18" s="180"/>
      <c r="E18" s="180"/>
      <c r="F18" s="1"/>
      <c r="G18" s="1"/>
    </row>
    <row r="19" spans="1:7">
      <c r="A19" s="180"/>
      <c r="B19" s="180"/>
      <c r="C19" s="180"/>
      <c r="D19" s="180"/>
      <c r="E19" s="180"/>
      <c r="F19" s="1"/>
      <c r="G19" s="1"/>
    </row>
    <row r="20" spans="1:7">
      <c r="A20" s="2"/>
      <c r="B20" s="2"/>
      <c r="C20" s="2"/>
      <c r="D20" s="2"/>
      <c r="E20" s="2"/>
    </row>
    <row r="21" spans="1:7">
      <c r="A21" s="2"/>
      <c r="B21" s="2"/>
      <c r="C21" s="2"/>
      <c r="D21" s="2"/>
      <c r="E21" s="2"/>
    </row>
  </sheetData>
  <phoneticPr fontId="19" type="noConversion"/>
  <printOptions gridLinesSet="0"/>
  <pageMargins left="0.98425196850393704" right="0.78740157480314965" top="2.3622047244094491" bottom="0.98425196850393704" header="0.51181102362204722" footer="0.51181102362204722"/>
  <pageSetup paperSize="9" orientation="portrait" horizontalDpi="300" verticalDpi="300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25"/>
  <sheetViews>
    <sheetView topLeftCell="A16" workbookViewId="0">
      <selection activeCell="F17" sqref="F17"/>
    </sheetView>
  </sheetViews>
  <sheetFormatPr baseColWidth="10" defaultRowHeight="12.75"/>
  <cols>
    <col min="1" max="1" width="6.28515625" customWidth="1"/>
    <col min="2" max="3" width="5.42578125" customWidth="1"/>
    <col min="4" max="4" width="5" customWidth="1"/>
    <col min="5" max="5" width="5.85546875" customWidth="1"/>
    <col min="6" max="6" width="5.7109375" customWidth="1"/>
    <col min="7" max="7" width="5.42578125" customWidth="1"/>
    <col min="8" max="8" width="5.85546875" customWidth="1"/>
    <col min="9" max="9" width="5.7109375" customWidth="1"/>
    <col min="10" max="10" width="4.140625" customWidth="1"/>
    <col min="11" max="11" width="5.85546875" customWidth="1"/>
    <col min="12" max="12" width="4" customWidth="1"/>
    <col min="13" max="13" width="5.85546875" customWidth="1"/>
    <col min="14" max="14" width="3.85546875" customWidth="1"/>
    <col min="15" max="15" width="5.85546875" customWidth="1"/>
    <col min="16" max="16" width="4.140625" customWidth="1"/>
    <col min="17" max="17" width="5.85546875" customWidth="1"/>
    <col min="18" max="18" width="5" customWidth="1"/>
    <col min="19" max="19" width="4.7109375" customWidth="1"/>
    <col min="20" max="20" width="4" customWidth="1"/>
    <col min="21" max="21" width="5.85546875" customWidth="1"/>
    <col min="22" max="22" width="4" customWidth="1"/>
    <col min="23" max="23" width="5.85546875" customWidth="1"/>
    <col min="24" max="24" width="3.85546875" customWidth="1"/>
    <col min="25" max="25" width="5.85546875" customWidth="1"/>
    <col min="26" max="26" width="4.42578125" customWidth="1"/>
    <col min="27" max="27" width="5.85546875" customWidth="1"/>
    <col min="28" max="28" width="4.42578125" customWidth="1"/>
    <col min="29" max="29" width="5.85546875" customWidth="1"/>
    <col min="30" max="30" width="4.5703125" customWidth="1"/>
    <col min="31" max="31" width="5.85546875" customWidth="1"/>
  </cols>
  <sheetData>
    <row r="1" spans="1:31">
      <c r="A1" s="149" t="s">
        <v>745</v>
      </c>
      <c r="B1" s="149"/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</row>
    <row r="2" spans="1:31">
      <c r="A2" s="149"/>
      <c r="B2" s="149"/>
      <c r="C2" s="149"/>
      <c r="D2" s="149"/>
      <c r="E2" s="149"/>
      <c r="F2" s="149"/>
      <c r="G2" s="149"/>
      <c r="H2" s="149"/>
      <c r="I2" s="149"/>
      <c r="J2" s="149"/>
      <c r="K2" s="149"/>
      <c r="L2" s="149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</row>
    <row r="3" spans="1:31">
      <c r="A3" s="149" t="str">
        <f>+'23'!A3</f>
        <v>AÑOS   2005  - 2014</v>
      </c>
      <c r="B3" s="149"/>
      <c r="C3" s="149"/>
      <c r="D3" s="149"/>
      <c r="E3" s="149"/>
      <c r="F3" s="149"/>
      <c r="G3" s="149"/>
      <c r="H3" s="149"/>
      <c r="I3" s="149"/>
      <c r="J3" s="149"/>
      <c r="K3" s="149"/>
      <c r="L3" s="149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/>
      <c r="AC3" s="117"/>
      <c r="AD3" s="117"/>
      <c r="AE3" s="117"/>
    </row>
    <row r="4" spans="1:31">
      <c r="A4" s="117"/>
      <c r="B4" s="117"/>
      <c r="C4" s="117"/>
      <c r="D4" s="117"/>
      <c r="E4" s="117"/>
      <c r="F4" s="117"/>
      <c r="G4" s="117"/>
      <c r="H4" s="117"/>
      <c r="I4" s="117"/>
      <c r="J4" s="117"/>
      <c r="K4" s="117"/>
      <c r="L4" s="117"/>
      <c r="M4" s="117"/>
      <c r="N4" s="117"/>
      <c r="O4" s="117"/>
      <c r="P4" s="117"/>
      <c r="Q4" s="117"/>
      <c r="R4" s="117"/>
      <c r="S4" s="117"/>
      <c r="T4" s="117"/>
      <c r="U4" s="117"/>
      <c r="V4" s="117"/>
      <c r="W4" s="117"/>
      <c r="X4" s="117"/>
      <c r="Y4" s="117"/>
      <c r="Z4" s="117"/>
      <c r="AA4" s="117"/>
      <c r="AB4" s="117"/>
      <c r="AC4" s="117"/>
      <c r="AD4" s="117"/>
      <c r="AE4" s="117"/>
    </row>
    <row r="5" spans="1:31">
      <c r="A5" s="1"/>
      <c r="B5" s="117"/>
      <c r="C5" s="117"/>
      <c r="D5" s="117"/>
      <c r="E5" s="117"/>
      <c r="F5" s="117"/>
      <c r="G5" s="117"/>
      <c r="H5" s="117"/>
      <c r="I5" s="117"/>
      <c r="J5" s="117"/>
      <c r="K5" s="117"/>
      <c r="L5" s="117"/>
      <c r="M5" s="117"/>
      <c r="N5" s="117"/>
      <c r="O5" s="117"/>
      <c r="P5" s="117"/>
      <c r="Q5" s="117"/>
      <c r="R5" s="117"/>
      <c r="S5" s="117"/>
      <c r="T5" s="117"/>
      <c r="U5" s="117"/>
      <c r="V5" s="117"/>
      <c r="W5" s="117"/>
      <c r="X5" s="117"/>
      <c r="Y5" s="117"/>
      <c r="Z5" s="117"/>
      <c r="AA5" s="117"/>
      <c r="AB5" s="117"/>
      <c r="AC5" s="117"/>
      <c r="AD5" s="117"/>
      <c r="AE5" s="117"/>
    </row>
    <row r="6" spans="1:31" ht="18.75" customHeight="1">
      <c r="A6" s="89"/>
      <c r="B6" s="280"/>
      <c r="C6" s="281"/>
      <c r="D6" s="280"/>
      <c r="E6" s="281"/>
      <c r="F6" s="280"/>
      <c r="G6" s="281"/>
      <c r="H6" s="246"/>
      <c r="I6" s="87"/>
      <c r="J6" s="122" t="s">
        <v>708</v>
      </c>
      <c r="K6" s="122"/>
      <c r="L6" s="122"/>
      <c r="M6" s="122"/>
      <c r="N6" s="122"/>
      <c r="O6" s="122"/>
      <c r="P6" s="122"/>
      <c r="Q6" s="122"/>
      <c r="R6" s="122"/>
      <c r="S6" s="122"/>
      <c r="T6" s="122"/>
      <c r="U6" s="122"/>
      <c r="V6" s="122"/>
      <c r="W6" s="122"/>
      <c r="X6" s="122"/>
      <c r="Y6" s="122"/>
      <c r="Z6" s="122"/>
      <c r="AA6" s="122"/>
      <c r="AB6" s="122"/>
      <c r="AC6" s="122"/>
      <c r="AD6" s="87"/>
      <c r="AE6" s="88"/>
    </row>
    <row r="7" spans="1:31">
      <c r="A7" s="252"/>
      <c r="B7" s="204"/>
      <c r="C7" s="253"/>
      <c r="D7" s="204"/>
      <c r="E7" s="255"/>
      <c r="F7" s="217" t="s">
        <v>716</v>
      </c>
      <c r="G7" s="282"/>
      <c r="H7" s="187" t="s">
        <v>717</v>
      </c>
      <c r="I7" s="249"/>
      <c r="J7" s="250"/>
      <c r="K7" s="251"/>
      <c r="L7" s="250"/>
      <c r="M7" s="251"/>
      <c r="N7" s="250"/>
      <c r="O7" s="251"/>
      <c r="P7" s="250"/>
      <c r="Q7" s="251"/>
      <c r="R7" s="187" t="s">
        <v>717</v>
      </c>
      <c r="S7" s="249"/>
      <c r="T7" s="250"/>
      <c r="U7" s="251"/>
      <c r="V7" s="250"/>
      <c r="W7" s="251"/>
      <c r="X7" s="250"/>
      <c r="Y7" s="251"/>
      <c r="Z7" s="221"/>
      <c r="AA7" s="251"/>
      <c r="AB7" s="250"/>
      <c r="AC7" s="251"/>
      <c r="AD7" s="250"/>
      <c r="AE7" s="251"/>
    </row>
    <row r="8" spans="1:31" ht="17.25" customHeight="1">
      <c r="A8" s="252" t="s">
        <v>709</v>
      </c>
      <c r="B8" s="204" t="s">
        <v>714</v>
      </c>
      <c r="C8" s="204"/>
      <c r="D8" s="204" t="s">
        <v>715</v>
      </c>
      <c r="E8" s="253"/>
      <c r="F8" s="204" t="s">
        <v>718</v>
      </c>
      <c r="G8" s="253"/>
      <c r="H8" s="204" t="s">
        <v>699</v>
      </c>
      <c r="I8" s="253"/>
      <c r="J8" s="204" t="s">
        <v>699</v>
      </c>
      <c r="K8" s="253"/>
      <c r="L8" s="254" t="s">
        <v>480</v>
      </c>
      <c r="M8" s="255"/>
      <c r="N8" s="204" t="s">
        <v>720</v>
      </c>
      <c r="O8" s="253"/>
      <c r="P8" s="204" t="s">
        <v>483</v>
      </c>
      <c r="Q8" s="253"/>
      <c r="R8" s="204" t="s">
        <v>721</v>
      </c>
      <c r="S8" s="253"/>
      <c r="T8" s="204" t="s">
        <v>721</v>
      </c>
      <c r="U8" s="253"/>
      <c r="V8" s="204" t="s">
        <v>445</v>
      </c>
      <c r="W8" s="253"/>
      <c r="X8" s="204" t="s">
        <v>463</v>
      </c>
      <c r="Y8" s="253"/>
      <c r="Z8" s="204" t="s">
        <v>468</v>
      </c>
      <c r="AA8" s="253"/>
      <c r="AB8" s="204" t="s">
        <v>722</v>
      </c>
      <c r="AC8" s="253"/>
      <c r="AD8" s="204" t="s">
        <v>470</v>
      </c>
      <c r="AE8" s="253"/>
    </row>
    <row r="9" spans="1:31" ht="20.25" customHeight="1">
      <c r="A9" s="256"/>
      <c r="B9" s="257" t="s">
        <v>736</v>
      </c>
      <c r="C9" s="259" t="s">
        <v>737</v>
      </c>
      <c r="D9" s="257" t="s">
        <v>736</v>
      </c>
      <c r="E9" s="259" t="s">
        <v>737</v>
      </c>
      <c r="F9" s="257" t="s">
        <v>736</v>
      </c>
      <c r="G9" s="259" t="s">
        <v>737</v>
      </c>
      <c r="H9" s="257" t="s">
        <v>736</v>
      </c>
      <c r="I9" s="258" t="s">
        <v>737</v>
      </c>
      <c r="J9" s="257" t="s">
        <v>736</v>
      </c>
      <c r="K9" s="258" t="s">
        <v>737</v>
      </c>
      <c r="L9" s="257" t="s">
        <v>736</v>
      </c>
      <c r="M9" s="259" t="s">
        <v>737</v>
      </c>
      <c r="N9" s="257" t="s">
        <v>736</v>
      </c>
      <c r="O9" s="259" t="s">
        <v>737</v>
      </c>
      <c r="P9" s="257" t="s">
        <v>736</v>
      </c>
      <c r="Q9" s="259" t="s">
        <v>737</v>
      </c>
      <c r="R9" s="257" t="s">
        <v>736</v>
      </c>
      <c r="S9" s="258" t="s">
        <v>737</v>
      </c>
      <c r="T9" s="257" t="s">
        <v>736</v>
      </c>
      <c r="U9" s="259" t="s">
        <v>737</v>
      </c>
      <c r="V9" s="257" t="s">
        <v>736</v>
      </c>
      <c r="W9" s="259" t="s">
        <v>737</v>
      </c>
      <c r="X9" s="257" t="s">
        <v>736</v>
      </c>
      <c r="Y9" s="259" t="s">
        <v>737</v>
      </c>
      <c r="Z9" s="257" t="s">
        <v>736</v>
      </c>
      <c r="AA9" s="259" t="s">
        <v>737</v>
      </c>
      <c r="AB9" s="257" t="s">
        <v>736</v>
      </c>
      <c r="AC9" s="259" t="s">
        <v>737</v>
      </c>
      <c r="AD9" s="257" t="s">
        <v>736</v>
      </c>
      <c r="AE9" s="259" t="s">
        <v>737</v>
      </c>
    </row>
    <row r="10" spans="1:31">
      <c r="A10" s="186"/>
      <c r="B10" s="187"/>
      <c r="C10" s="249"/>
      <c r="D10" s="187"/>
      <c r="E10" s="249"/>
      <c r="F10" s="187"/>
      <c r="G10" s="249"/>
      <c r="H10" s="260"/>
      <c r="I10" s="260"/>
      <c r="J10" s="187"/>
      <c r="K10" s="249"/>
      <c r="L10" s="187"/>
      <c r="M10" s="249"/>
      <c r="N10" s="187"/>
      <c r="O10" s="249"/>
      <c r="P10" s="187"/>
      <c r="Q10" s="249"/>
      <c r="R10" s="260"/>
      <c r="S10" s="260"/>
      <c r="T10" s="187"/>
      <c r="U10" s="249"/>
      <c r="V10" s="187"/>
      <c r="W10" s="249"/>
      <c r="X10" s="187"/>
      <c r="Y10" s="249"/>
      <c r="Z10" s="187"/>
      <c r="AA10" s="249"/>
      <c r="AB10" s="187"/>
      <c r="AC10" s="249"/>
      <c r="AD10" s="260"/>
      <c r="AE10" s="249"/>
    </row>
    <row r="11" spans="1:31" s="6" customFormat="1" ht="26.25" customHeight="1">
      <c r="A11" s="261">
        <f>+'23'!A11</f>
        <v>2005</v>
      </c>
      <c r="B11" s="266">
        <v>1254</v>
      </c>
      <c r="C11" s="275">
        <f>+B11/'17'!B11*1000</f>
        <v>5.1609185941229736</v>
      </c>
      <c r="D11" s="264">
        <v>116</v>
      </c>
      <c r="E11" s="275">
        <f>+D11/'17'!D11*1000</f>
        <v>4.9559941895240538</v>
      </c>
      <c r="F11" s="207">
        <f t="shared" ref="F11:F16" si="0">+J11+L11+N11+P11+T11+V11+X11+Z11+AB11+AD11</f>
        <v>14</v>
      </c>
      <c r="G11" s="274">
        <f>+F11/'17'!F11*1000</f>
        <v>3.8095238095238093</v>
      </c>
      <c r="H11" s="283">
        <f t="shared" ref="H11:H16" si="1">+J11+L11+N11+P11</f>
        <v>5</v>
      </c>
      <c r="I11" s="277">
        <f>+H11/'17'!H11*1000</f>
        <v>3.2808398950131235</v>
      </c>
      <c r="J11" s="207">
        <v>2</v>
      </c>
      <c r="K11" s="274">
        <f>+J11/'17'!J11*1000</f>
        <v>1.9230769230769231</v>
      </c>
      <c r="L11" s="207">
        <v>0</v>
      </c>
      <c r="M11" s="262">
        <f>+L11/'17'!L11*1000</f>
        <v>0</v>
      </c>
      <c r="N11" s="207">
        <v>1</v>
      </c>
      <c r="O11" s="274">
        <f>+N11/'17'!N11*1000</f>
        <v>6.7114093959731544</v>
      </c>
      <c r="P11" s="207">
        <v>2</v>
      </c>
      <c r="Q11" s="262">
        <f>+P11/'17'!P11*1000</f>
        <v>16.949152542372882</v>
      </c>
      <c r="R11" s="208">
        <f t="shared" ref="R11:R16" si="2">+T11+V11+X11+Z11+AB11+AD11</f>
        <v>9</v>
      </c>
      <c r="S11" s="277">
        <f>+R11/'17'!R11*1000</f>
        <v>4.1841004184100417</v>
      </c>
      <c r="T11" s="207">
        <v>7</v>
      </c>
      <c r="U11" s="274">
        <f>+T11/'17'!T11*1000</f>
        <v>6.0763888888888893</v>
      </c>
      <c r="V11" s="207">
        <v>0</v>
      </c>
      <c r="W11" s="274">
        <f>+V11/'17'!V11*1000</f>
        <v>0</v>
      </c>
      <c r="X11" s="207">
        <v>0</v>
      </c>
      <c r="Y11" s="274">
        <f>+X11/'17'!X11*1000</f>
        <v>0</v>
      </c>
      <c r="Z11" s="207">
        <v>0</v>
      </c>
      <c r="AA11" s="274">
        <f>+Z11/'17'!Z11*1000</f>
        <v>0</v>
      </c>
      <c r="AB11" s="207">
        <v>2</v>
      </c>
      <c r="AC11" s="262">
        <f>+AB11/'17'!AB11*1000</f>
        <v>6.1162079510703364</v>
      </c>
      <c r="AD11" s="207">
        <v>0</v>
      </c>
      <c r="AE11" s="262">
        <f>+AD11/'17'!AD11*1000</f>
        <v>0</v>
      </c>
    </row>
    <row r="12" spans="1:31" s="6" customFormat="1" ht="26.25" customHeight="1">
      <c r="A12" s="261">
        <f>+'23'!A12</f>
        <v>2006</v>
      </c>
      <c r="B12" s="266">
        <v>1249</v>
      </c>
      <c r="C12" s="275">
        <f>+B12/'17'!B12*1000</f>
        <v>5.1280787975086319</v>
      </c>
      <c r="D12" s="264">
        <v>117</v>
      </c>
      <c r="E12" s="275">
        <f>+D12/'17'!D12*1000</f>
        <v>5.1286547144172179</v>
      </c>
      <c r="F12" s="207">
        <f t="shared" si="0"/>
        <v>19</v>
      </c>
      <c r="G12" s="274">
        <f>+F12/'17'!F12*1000</f>
        <v>5.3702656868287173</v>
      </c>
      <c r="H12" s="283">
        <f t="shared" si="1"/>
        <v>7</v>
      </c>
      <c r="I12" s="277">
        <f>+H12/'17'!H12*1000</f>
        <v>4.9610205527994333</v>
      </c>
      <c r="J12" s="207">
        <v>6</v>
      </c>
      <c r="K12" s="274">
        <f>+J12/'17'!J12*1000</f>
        <v>6.4446831364124604</v>
      </c>
      <c r="L12" s="207">
        <v>0</v>
      </c>
      <c r="M12" s="262">
        <f>+L12/'17'!L12*1000</f>
        <v>0</v>
      </c>
      <c r="N12" s="207">
        <v>1</v>
      </c>
      <c r="O12" s="274">
        <f>+N12/'17'!N12*1000</f>
        <v>6.6225165562913908</v>
      </c>
      <c r="P12" s="207">
        <v>0</v>
      </c>
      <c r="Q12" s="262">
        <f>+P12/'17'!P12*1000</f>
        <v>0</v>
      </c>
      <c r="R12" s="208">
        <f t="shared" si="2"/>
        <v>12</v>
      </c>
      <c r="S12" s="277">
        <f>+R12/'17'!R12*1000</f>
        <v>5.6417489421720735</v>
      </c>
      <c r="T12" s="207">
        <v>4</v>
      </c>
      <c r="U12" s="274">
        <f>+T12/'17'!T12*1000</f>
        <v>3.5650623885918002</v>
      </c>
      <c r="V12" s="207">
        <v>4</v>
      </c>
      <c r="W12" s="274">
        <f>+V12/'17'!V12*1000</f>
        <v>21.164021164021165</v>
      </c>
      <c r="X12" s="207">
        <v>0</v>
      </c>
      <c r="Y12" s="274">
        <f>+X12/'17'!X12*1000</f>
        <v>0</v>
      </c>
      <c r="Z12" s="207">
        <v>0</v>
      </c>
      <c r="AA12" s="274">
        <f>+Z12/'17'!Z12*1000</f>
        <v>0</v>
      </c>
      <c r="AB12" s="207">
        <v>3</v>
      </c>
      <c r="AC12" s="262">
        <f>+AB12/'17'!AB12*1000</f>
        <v>8.9285714285714288</v>
      </c>
      <c r="AD12" s="207">
        <v>1</v>
      </c>
      <c r="AE12" s="262">
        <f>+AD12/'17'!AD12*1000</f>
        <v>5.1546391752577323</v>
      </c>
    </row>
    <row r="13" spans="1:31" s="6" customFormat="1" ht="26.25" customHeight="1">
      <c r="A13" s="261">
        <f>+'23'!A13</f>
        <v>2007</v>
      </c>
      <c r="B13" s="266">
        <v>1356</v>
      </c>
      <c r="C13" s="275">
        <f>+B13/'17'!B13*1000</f>
        <v>5.602055739628347</v>
      </c>
      <c r="D13" s="264">
        <v>143</v>
      </c>
      <c r="E13" s="275">
        <f>+D13/'17'!D13*1000</f>
        <v>6.2686305453270217</v>
      </c>
      <c r="F13" s="207">
        <f t="shared" si="0"/>
        <v>30</v>
      </c>
      <c r="G13" s="274">
        <f>+F13/'17'!F13*1000</f>
        <v>8.310249307479225</v>
      </c>
      <c r="H13" s="283">
        <f t="shared" si="1"/>
        <v>7</v>
      </c>
      <c r="I13" s="277">
        <f>+H13/'17'!H13*1000</f>
        <v>4.8543689320388346</v>
      </c>
      <c r="J13" s="207">
        <v>4</v>
      </c>
      <c r="K13" s="274">
        <f>+J13/'17'!J13*1000</f>
        <v>4.0733197556008145</v>
      </c>
      <c r="L13" s="207">
        <v>2</v>
      </c>
      <c r="M13" s="262">
        <f>+L13/'17'!L13*1000</f>
        <v>9.5238095238095255</v>
      </c>
      <c r="N13" s="207">
        <v>1</v>
      </c>
      <c r="O13" s="274">
        <f>+N13/'17'!N13*1000</f>
        <v>6.666666666666667</v>
      </c>
      <c r="P13" s="207">
        <v>0</v>
      </c>
      <c r="Q13" s="262">
        <f>+P13/'17'!P13*1000</f>
        <v>0</v>
      </c>
      <c r="R13" s="208">
        <f t="shared" si="2"/>
        <v>23</v>
      </c>
      <c r="S13" s="277">
        <f>+R13/'17'!R13*1000</f>
        <v>10.608856088560886</v>
      </c>
      <c r="T13" s="207">
        <v>13</v>
      </c>
      <c r="U13" s="274">
        <f>+T13/'17'!T13*1000</f>
        <v>10.76158940397351</v>
      </c>
      <c r="V13" s="207">
        <v>3</v>
      </c>
      <c r="W13" s="274">
        <f>+V13/'17'!V13*1000</f>
        <v>15.789473684210527</v>
      </c>
      <c r="X13" s="207">
        <v>1</v>
      </c>
      <c r="Y13" s="274">
        <f>+X13/'17'!X13*1000</f>
        <v>4.9751243781094523</v>
      </c>
      <c r="Z13" s="207">
        <v>0</v>
      </c>
      <c r="AA13" s="274">
        <f>+Z13/'17'!Z13*1000</f>
        <v>0</v>
      </c>
      <c r="AB13" s="207">
        <v>4</v>
      </c>
      <c r="AC13" s="262">
        <f>+AB13/'17'!AB13*1000</f>
        <v>13.029315960912053</v>
      </c>
      <c r="AD13" s="207">
        <v>2</v>
      </c>
      <c r="AE13" s="262">
        <f>+AD13/'17'!AD13*1000</f>
        <v>11.494252873563218</v>
      </c>
    </row>
    <row r="14" spans="1:31" s="6" customFormat="1" ht="26.25" customHeight="1">
      <c r="A14" s="261">
        <f>+'23'!A14</f>
        <v>2008</v>
      </c>
      <c r="B14" s="207">
        <v>1369</v>
      </c>
      <c r="C14" s="275">
        <f>+B14/'17'!B14*1000</f>
        <v>5.5120266058961365</v>
      </c>
      <c r="D14" s="264">
        <v>120</v>
      </c>
      <c r="E14" s="275">
        <f>+D14/'17'!D14*1000</f>
        <v>5.1717450329698744</v>
      </c>
      <c r="F14" s="207">
        <f t="shared" si="0"/>
        <v>18</v>
      </c>
      <c r="G14" s="274">
        <f>+F14/'17'!F14*1000</f>
        <v>4.9086446686664855</v>
      </c>
      <c r="H14" s="283">
        <f t="shared" si="1"/>
        <v>12</v>
      </c>
      <c r="I14" s="277">
        <f>+H14/'17'!H14*1000</f>
        <v>8.146639511201629</v>
      </c>
      <c r="J14" s="207">
        <v>7</v>
      </c>
      <c r="K14" s="274">
        <f>+J14/'17'!J14*1000</f>
        <v>7.2538860103626943</v>
      </c>
      <c r="L14" s="207">
        <v>2</v>
      </c>
      <c r="M14" s="262">
        <f>+L14/'17'!L13*1000</f>
        <v>9.5238095238095255</v>
      </c>
      <c r="N14" s="207">
        <v>3</v>
      </c>
      <c r="O14" s="274">
        <f>+N14/'17'!N13*1000</f>
        <v>20</v>
      </c>
      <c r="P14" s="207">
        <v>0</v>
      </c>
      <c r="Q14" s="262">
        <f>+P14/'17'!P13*1000</f>
        <v>0</v>
      </c>
      <c r="R14" s="208">
        <f t="shared" si="2"/>
        <v>6</v>
      </c>
      <c r="S14" s="277">
        <f>+R14/'17'!R13*1000</f>
        <v>2.7675276752767526</v>
      </c>
      <c r="T14" s="207">
        <v>4</v>
      </c>
      <c r="U14" s="274">
        <f>+T14/'17'!T13*1000</f>
        <v>3.3112582781456954</v>
      </c>
      <c r="V14" s="207">
        <v>0</v>
      </c>
      <c r="W14" s="274">
        <f>+V14/'17'!V13*1000</f>
        <v>0</v>
      </c>
      <c r="X14" s="207">
        <v>0</v>
      </c>
      <c r="Y14" s="274">
        <f>+X14/'17'!X13*1000</f>
        <v>0</v>
      </c>
      <c r="Z14" s="207">
        <v>0</v>
      </c>
      <c r="AA14" s="274">
        <f>+Z14/'17'!Z13*1000</f>
        <v>0</v>
      </c>
      <c r="AB14" s="207">
        <v>0</v>
      </c>
      <c r="AC14" s="262">
        <f>+AB14/'17'!AB13*1000</f>
        <v>0</v>
      </c>
      <c r="AD14" s="207">
        <v>2</v>
      </c>
      <c r="AE14" s="262">
        <f>+AD14/'17'!AD13*1000</f>
        <v>11.494252873563218</v>
      </c>
    </row>
    <row r="15" spans="1:31" s="6" customFormat="1" ht="26.25" customHeight="1">
      <c r="A15" s="261">
        <f>+'23'!A15</f>
        <v>2009</v>
      </c>
      <c r="B15" s="207">
        <v>1359</v>
      </c>
      <c r="C15" s="275">
        <f>+B15/'17'!B15*1000</f>
        <v>5.387725975261656</v>
      </c>
      <c r="D15" s="264">
        <v>138</v>
      </c>
      <c r="E15" s="275">
        <f>+D15/'17'!D15*1000</f>
        <v>5.8141984411207082</v>
      </c>
      <c r="F15" s="207">
        <f t="shared" si="0"/>
        <v>23</v>
      </c>
      <c r="G15" s="274">
        <f>+F15/'17'!F15*1000</f>
        <v>6.2128579146407352</v>
      </c>
      <c r="H15" s="283">
        <f t="shared" si="1"/>
        <v>10</v>
      </c>
      <c r="I15" s="277">
        <f>+H15/'17'!H15*1000</f>
        <v>6.5189048239895699</v>
      </c>
      <c r="J15" s="207">
        <v>7</v>
      </c>
      <c r="K15" s="274">
        <f>+J15/'17'!J15*1000</f>
        <v>7.1065989847715736</v>
      </c>
      <c r="L15" s="207">
        <v>0</v>
      </c>
      <c r="M15" s="262">
        <f>+L15/'17'!L15*1000</f>
        <v>0</v>
      </c>
      <c r="N15" s="207">
        <v>2</v>
      </c>
      <c r="O15" s="274">
        <f>+N15/'17'!N15*1000</f>
        <v>12.820512820512819</v>
      </c>
      <c r="P15" s="207">
        <v>1</v>
      </c>
      <c r="Q15" s="262">
        <f>+P15/'17'!P15*1000</f>
        <v>7.518796992481203</v>
      </c>
      <c r="R15" s="208">
        <f t="shared" si="2"/>
        <v>13</v>
      </c>
      <c r="S15" s="277">
        <f>+R15/'17'!R15*1000</f>
        <v>5.9963099630996313</v>
      </c>
      <c r="T15" s="207">
        <v>8</v>
      </c>
      <c r="U15" s="274">
        <f>+T15/'17'!T15*1000</f>
        <v>6.8434559452523525</v>
      </c>
      <c r="V15" s="207">
        <v>1</v>
      </c>
      <c r="W15" s="274">
        <f>+V15/'17'!V15*1000</f>
        <v>4.9261083743842367</v>
      </c>
      <c r="X15" s="207">
        <v>1</v>
      </c>
      <c r="Y15" s="274">
        <f>+X15/'17'!X15*1000</f>
        <v>5.8823529411764701</v>
      </c>
      <c r="Z15" s="207">
        <v>1</v>
      </c>
      <c r="AA15" s="274">
        <f>+Z15/'17'!Z15*1000</f>
        <v>9.9009900990099009</v>
      </c>
      <c r="AB15" s="207">
        <v>0</v>
      </c>
      <c r="AC15" s="262">
        <f>+AB15/'17'!AB15*1000</f>
        <v>0</v>
      </c>
      <c r="AD15" s="207">
        <v>2</v>
      </c>
      <c r="AE15" s="262">
        <f>+AD15/'17'!AD15*1000</f>
        <v>11.049723756906078</v>
      </c>
    </row>
    <row r="16" spans="1:31" s="6" customFormat="1" ht="26.25" customHeight="1">
      <c r="A16" s="261">
        <f>+'23'!A16</f>
        <v>2010</v>
      </c>
      <c r="B16" s="207">
        <v>1283</v>
      </c>
      <c r="C16" s="275">
        <f>+B16/'17'!B16*1000</f>
        <v>5.1075044088551307</v>
      </c>
      <c r="D16" s="264">
        <v>120</v>
      </c>
      <c r="E16" s="275">
        <f>+D16/'17'!D16*1000</f>
        <v>5.0377833753148611</v>
      </c>
      <c r="F16" s="207">
        <f t="shared" si="0"/>
        <v>29</v>
      </c>
      <c r="G16" s="274">
        <f>+F16/'17'!F16*1000</f>
        <v>7.3866530820173208</v>
      </c>
      <c r="H16" s="283">
        <f t="shared" si="1"/>
        <v>12</v>
      </c>
      <c r="I16" s="277">
        <f>+H16/'17'!H16*1000</f>
        <v>7.2245635159542445</v>
      </c>
      <c r="J16" s="207">
        <v>7</v>
      </c>
      <c r="K16" s="274">
        <f>+J16/'17'!J16*1000</f>
        <v>6.5851364063969902</v>
      </c>
      <c r="L16" s="207">
        <v>1</v>
      </c>
      <c r="M16" s="262">
        <f>+L16/'17'!L16*1000</f>
        <v>4.0160642570281118</v>
      </c>
      <c r="N16" s="207">
        <v>3</v>
      </c>
      <c r="O16" s="274">
        <f>+N16/'17'!N16*1000</f>
        <v>16.129032258064516</v>
      </c>
      <c r="P16" s="207">
        <v>1</v>
      </c>
      <c r="Q16" s="262">
        <f>+P16/'17'!P16*1000</f>
        <v>6.1349693251533743</v>
      </c>
      <c r="R16" s="208">
        <f t="shared" si="2"/>
        <v>17</v>
      </c>
      <c r="S16" s="277">
        <f>+R16/'17'!R16*1000</f>
        <v>7.5055187637969096</v>
      </c>
      <c r="T16" s="207">
        <v>8</v>
      </c>
      <c r="U16" s="274">
        <f>+T16/'17'!T16*1000</f>
        <v>6.5735414954806899</v>
      </c>
      <c r="V16" s="207">
        <v>1</v>
      </c>
      <c r="W16" s="274">
        <f>+V16/'17'!V16*1000</f>
        <v>5.2631578947368416</v>
      </c>
      <c r="X16" s="207">
        <v>2</v>
      </c>
      <c r="Y16" s="274">
        <f>+X16/'17'!X16*1000</f>
        <v>10.362694300518134</v>
      </c>
      <c r="Z16" s="207">
        <v>1</v>
      </c>
      <c r="AA16" s="274">
        <f>+Z16/'17'!Z16*1000</f>
        <v>9.5238095238095255</v>
      </c>
      <c r="AB16" s="207">
        <v>3</v>
      </c>
      <c r="AC16" s="262">
        <f>+AB16/'17'!AB16*1000</f>
        <v>9.0909090909090899</v>
      </c>
      <c r="AD16" s="207">
        <v>2</v>
      </c>
      <c r="AE16" s="262">
        <f>+AD16/'17'!AD16*1000</f>
        <v>8.695652173913043</v>
      </c>
    </row>
    <row r="17" spans="1:31" s="6" customFormat="1" ht="26.25" customHeight="1">
      <c r="A17" s="261">
        <f>+'23'!A17</f>
        <v>2011</v>
      </c>
      <c r="B17" s="207">
        <v>1346</v>
      </c>
      <c r="C17" s="275">
        <f>+B17/'17'!B17*1000</f>
        <v>5.4082505956709888</v>
      </c>
      <c r="D17" s="264">
        <v>110</v>
      </c>
      <c r="E17" s="275">
        <f>+D17/'17'!D17*1000</f>
        <v>4.6425255338904359</v>
      </c>
      <c r="F17" s="207">
        <f>+J17+L17+N17+P17+T17+V17+X17+Z17+AB17+AD17</f>
        <v>22</v>
      </c>
      <c r="G17" s="274">
        <f>+F17/'17'!F17*1000</f>
        <v>5.9491617090319089</v>
      </c>
      <c r="H17" s="283">
        <f>+J17+L17+N17+P17</f>
        <v>9</v>
      </c>
      <c r="I17" s="277">
        <f>+H17/'17'!H17*1000</f>
        <v>5.9563203176704169</v>
      </c>
      <c r="J17" s="207">
        <v>5</v>
      </c>
      <c r="K17" s="274">
        <f>+J17/'17'!J17*1000</f>
        <v>5.1599587203302377</v>
      </c>
      <c r="L17" s="207">
        <v>3</v>
      </c>
      <c r="M17" s="262">
        <f>+L17/'17'!L17*1000</f>
        <v>12.931034482758621</v>
      </c>
      <c r="N17" s="207"/>
      <c r="O17" s="274">
        <f>+N17/'17'!N17*1000</f>
        <v>0</v>
      </c>
      <c r="P17" s="207">
        <v>1</v>
      </c>
      <c r="Q17" s="262">
        <f>+P17/'17'!P17*1000</f>
        <v>6.9930069930069934</v>
      </c>
      <c r="R17" s="208">
        <f>+T17+V17+X17+Z17+AB17+AD17</f>
        <v>13</v>
      </c>
      <c r="S17" s="277">
        <f>+R17/'17'!R17*1000</f>
        <v>5.9442158207590303</v>
      </c>
      <c r="T17" s="207">
        <v>7</v>
      </c>
      <c r="U17" s="274">
        <f>+T17/'17'!T17*1000</f>
        <v>6.25</v>
      </c>
      <c r="V17" s="207">
        <v>2</v>
      </c>
      <c r="W17" s="274">
        <f>+V17/'17'!V17*1000</f>
        <v>9.3896713615023479</v>
      </c>
      <c r="X17" s="207">
        <v>1</v>
      </c>
      <c r="Y17" s="274">
        <f>+X17/'17'!X17*1000</f>
        <v>3.9682539682539679</v>
      </c>
      <c r="Z17" s="207"/>
      <c r="AA17" s="274">
        <f>+Z17/'17'!Z17*1000</f>
        <v>0</v>
      </c>
      <c r="AB17" s="207">
        <v>3</v>
      </c>
      <c r="AC17" s="262">
        <f>+AB17/'17'!AB17*1000</f>
        <v>9.2592592592592595</v>
      </c>
      <c r="AD17" s="207"/>
      <c r="AE17" s="262">
        <f>+AD17/'17'!AD17*1000</f>
        <v>0</v>
      </c>
    </row>
    <row r="18" spans="1:31" s="6" customFormat="1" ht="26.25" customHeight="1">
      <c r="A18" s="261">
        <f>+'23'!A18</f>
        <v>2012</v>
      </c>
      <c r="B18" s="266"/>
      <c r="C18" s="275"/>
      <c r="D18" s="264"/>
      <c r="E18" s="275"/>
      <c r="F18" s="207">
        <f>+J18+L18+N18+P18+T18+V18+X18+Z18+AB18+AD18</f>
        <v>28</v>
      </c>
      <c r="G18" s="274">
        <f>+F18/'17'!F18*1000</f>
        <v>7.7134986225895323</v>
      </c>
      <c r="H18" s="283">
        <f>+J18+L18+N18+P18</f>
        <v>13</v>
      </c>
      <c r="I18" s="277">
        <f>+H18/'17'!H18*1000</f>
        <v>8.9841050449205255</v>
      </c>
      <c r="J18" s="207">
        <v>10</v>
      </c>
      <c r="K18" s="274">
        <f>+J18/'17'!J18*1000</f>
        <v>10.649627263045794</v>
      </c>
      <c r="L18" s="207">
        <v>0</v>
      </c>
      <c r="M18" s="262">
        <f>+L18/'17'!L18*1000</f>
        <v>0</v>
      </c>
      <c r="N18" s="207">
        <v>3</v>
      </c>
      <c r="O18" s="274">
        <f>+N18/'17'!N18*1000</f>
        <v>19.480519480519479</v>
      </c>
      <c r="P18" s="207">
        <v>0</v>
      </c>
      <c r="Q18" s="262">
        <f>+P18/'17'!P18*1000</f>
        <v>0</v>
      </c>
      <c r="R18" s="208">
        <f>+T18+V18+X18+Z18+AB18+AD18</f>
        <v>15</v>
      </c>
      <c r="S18" s="277">
        <f>+R18/'17'!R18*1000</f>
        <v>6.8712780577187358</v>
      </c>
      <c r="T18" s="207">
        <v>11</v>
      </c>
      <c r="U18" s="274">
        <f>+T18/'17'!T18*1000</f>
        <v>9.5818815331010452</v>
      </c>
      <c r="V18" s="207">
        <v>1</v>
      </c>
      <c r="W18" s="274">
        <f>+V18/'17'!V18*1000</f>
        <v>5.025125628140704</v>
      </c>
      <c r="X18" s="207">
        <v>2</v>
      </c>
      <c r="Y18" s="274">
        <f>+X18/'17'!X18*1000</f>
        <v>10.989010989010989</v>
      </c>
      <c r="Z18" s="207">
        <v>0</v>
      </c>
      <c r="AA18" s="274">
        <f>+Z18/'17'!Z18*1000</f>
        <v>0</v>
      </c>
      <c r="AB18" s="207">
        <v>1</v>
      </c>
      <c r="AC18" s="262">
        <f>+AB18/'17'!AB18*1000</f>
        <v>2.7027027027027026</v>
      </c>
      <c r="AD18" s="207">
        <v>0</v>
      </c>
      <c r="AE18" s="262">
        <f>+AD18/'17'!AD18*1000</f>
        <v>0</v>
      </c>
    </row>
    <row r="19" spans="1:31" s="6" customFormat="1" ht="26.25" customHeight="1">
      <c r="A19" s="261">
        <f>+'23'!A19</f>
        <v>2013</v>
      </c>
      <c r="B19" s="266"/>
      <c r="C19" s="275"/>
      <c r="D19" s="264"/>
      <c r="E19" s="275"/>
      <c r="F19" s="207">
        <f>+J19+L19+N19+P19+T19+V19+X19+Z19+AB19+AD19</f>
        <v>17</v>
      </c>
      <c r="G19" s="274">
        <f>+F19/'17'!F19*1000</f>
        <v>4.8185941043083895</v>
      </c>
      <c r="H19" s="283">
        <f>+J19+L19+N19+P19</f>
        <v>6</v>
      </c>
      <c r="I19" s="277">
        <f>+H19/'17'!H19*1000</f>
        <v>4.1152263374485596</v>
      </c>
      <c r="J19" s="207">
        <v>4</v>
      </c>
      <c r="K19" s="274">
        <f>+J19/'17'!J19*1000</f>
        <v>4.3907793633369927</v>
      </c>
      <c r="L19" s="207">
        <v>1</v>
      </c>
      <c r="M19" s="262">
        <f>+L19/'17'!L19*1000</f>
        <v>3.9840637450199203</v>
      </c>
      <c r="N19" s="207"/>
      <c r="O19" s="274">
        <f>+N19/'17'!N19*1000</f>
        <v>0</v>
      </c>
      <c r="P19" s="207">
        <v>1</v>
      </c>
      <c r="Q19" s="262">
        <f>+P19/'17'!P19*1000</f>
        <v>6.9444444444444438</v>
      </c>
      <c r="R19" s="208">
        <f>+T19+V19+X19+Z19+AB19+AD19</f>
        <v>11</v>
      </c>
      <c r="S19" s="277">
        <f>+R19/'17'!R19*1000</f>
        <v>5.3140096618357493</v>
      </c>
      <c r="T19" s="207">
        <v>7</v>
      </c>
      <c r="U19" s="274">
        <f>+T19/'17'!T19*1000</f>
        <v>6.8897637795275593</v>
      </c>
      <c r="V19" s="207">
        <v>2</v>
      </c>
      <c r="W19" s="274">
        <f>+V19/'17'!V19*1000</f>
        <v>9.5693779904306222</v>
      </c>
      <c r="X19" s="207"/>
      <c r="Y19" s="274">
        <f>+X19/'17'!X19*1000</f>
        <v>0</v>
      </c>
      <c r="Z19" s="207">
        <v>1</v>
      </c>
      <c r="AA19" s="274">
        <f>+Z19/'17'!Z19*1000</f>
        <v>11.235955056179774</v>
      </c>
      <c r="AB19" s="207">
        <v>1</v>
      </c>
      <c r="AC19" s="262">
        <f>+AB19/'17'!AB19*1000</f>
        <v>2.7777777777777777</v>
      </c>
      <c r="AD19" s="207"/>
      <c r="AE19" s="262">
        <f>+AD19/'17'!AD19*1000</f>
        <v>0</v>
      </c>
    </row>
    <row r="20" spans="1:31" s="6" customFormat="1" ht="26.25" customHeight="1">
      <c r="A20" s="261">
        <f>+'23'!A20</f>
        <v>2014</v>
      </c>
      <c r="B20" s="266"/>
      <c r="C20" s="275"/>
      <c r="D20" s="264"/>
      <c r="E20" s="275"/>
      <c r="F20" s="207">
        <f>+J20+L20+N20+P20+T20+V20+X20+Z20+AB20+AD20</f>
        <v>20</v>
      </c>
      <c r="G20" s="274">
        <f>+F20/'17'!F20*1000</f>
        <v>5.329070077271516</v>
      </c>
      <c r="H20" s="283">
        <f>+J20+L20+N20+P20</f>
        <v>5</v>
      </c>
      <c r="I20" s="277">
        <f>+H20/'17'!H20*1000</f>
        <v>3.2030749519538757</v>
      </c>
      <c r="J20" s="207">
        <v>1</v>
      </c>
      <c r="K20" s="274">
        <f>+J20/'17'!J20*1000</f>
        <v>0.9765625</v>
      </c>
      <c r="L20" s="207">
        <v>2</v>
      </c>
      <c r="M20" s="262">
        <f>+L20/'17'!L20*1000</f>
        <v>7.8740157480314963</v>
      </c>
      <c r="N20" s="207"/>
      <c r="O20" s="274">
        <f>+N20/'17'!N20*1000</f>
        <v>0</v>
      </c>
      <c r="P20" s="207">
        <v>2</v>
      </c>
      <c r="Q20" s="262">
        <f>+P20/'17'!P20*1000</f>
        <v>15.151515151515152</v>
      </c>
      <c r="R20" s="208">
        <f>+T20+V20+X20+Z20+AB20+AD20</f>
        <v>15</v>
      </c>
      <c r="S20" s="277">
        <f>+R20/'17'!R20*1000</f>
        <v>6.8430656934306571</v>
      </c>
      <c r="T20" s="207">
        <v>10</v>
      </c>
      <c r="U20" s="274">
        <f>+T20/'17'!T20*1000</f>
        <v>9.0826521344232525</v>
      </c>
      <c r="V20" s="207">
        <v>2</v>
      </c>
      <c r="W20" s="274">
        <f>+V20/'17'!V20*1000</f>
        <v>10.309278350515465</v>
      </c>
      <c r="X20" s="207"/>
      <c r="Y20" s="274">
        <f>+X20/'17'!X20*1000</f>
        <v>0</v>
      </c>
      <c r="Z20" s="207">
        <v>1</v>
      </c>
      <c r="AA20" s="274">
        <f>+Z20/'17'!Z20*1000</f>
        <v>8.695652173913043</v>
      </c>
      <c r="AB20" s="207">
        <v>2</v>
      </c>
      <c r="AC20" s="262">
        <f>+AB20/'17'!AB20*1000</f>
        <v>5.1020408163265305</v>
      </c>
      <c r="AD20" s="207"/>
      <c r="AE20" s="262">
        <f>+AD20/'17'!AD20*1000</f>
        <v>0</v>
      </c>
    </row>
    <row r="21" spans="1:31">
      <c r="A21" s="268"/>
      <c r="B21" s="210"/>
      <c r="C21" s="269"/>
      <c r="D21" s="210"/>
      <c r="E21" s="269"/>
      <c r="F21" s="213"/>
      <c r="G21" s="269"/>
      <c r="H21" s="286"/>
      <c r="I21" s="286"/>
      <c r="J21" s="210"/>
      <c r="K21" s="269"/>
      <c r="L21" s="210"/>
      <c r="M21" s="269"/>
      <c r="N21" s="210"/>
      <c r="O21" s="269"/>
      <c r="P21" s="210"/>
      <c r="Q21" s="269"/>
      <c r="R21" s="286"/>
      <c r="S21" s="286"/>
      <c r="T21" s="210"/>
      <c r="U21" s="269"/>
      <c r="V21" s="210"/>
      <c r="W21" s="269"/>
      <c r="X21" s="210"/>
      <c r="Y21" s="269"/>
      <c r="Z21" s="210"/>
      <c r="AA21" s="269"/>
      <c r="AB21" s="210"/>
      <c r="AC21" s="269"/>
      <c r="AD21" s="270"/>
      <c r="AE21" s="269"/>
    </row>
    <row r="22" spans="1:31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</row>
    <row r="23" spans="1:31">
      <c r="A23" s="1"/>
      <c r="B23" s="221" t="str">
        <f>+'17'!B22</f>
        <v>AÑO   2014  :   DATOS POR OCURRENCIA   (Provisorios)</v>
      </c>
      <c r="C23" s="271"/>
      <c r="D23" s="271"/>
      <c r="E23" s="271"/>
      <c r="F23" s="271"/>
      <c r="G23" s="271"/>
      <c r="H23" s="271"/>
      <c r="I23" s="271"/>
      <c r="J23" s="271"/>
      <c r="K23" s="217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</row>
    <row r="24" spans="1:31">
      <c r="A24" s="1"/>
      <c r="B24" s="217"/>
      <c r="C24" s="221" t="s">
        <v>746</v>
      </c>
      <c r="D24" s="221"/>
      <c r="E24" s="217"/>
      <c r="F24" s="217"/>
      <c r="G24" s="217"/>
      <c r="H24" s="217"/>
      <c r="I24" s="217"/>
      <c r="J24" s="217"/>
      <c r="K24" s="217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</row>
    <row r="25" spans="1:31">
      <c r="A25" s="1"/>
      <c r="B25" s="217"/>
      <c r="C25" s="217"/>
      <c r="D25" s="217"/>
      <c r="E25" s="217"/>
      <c r="F25" s="217"/>
      <c r="G25" s="217"/>
      <c r="H25" s="217"/>
      <c r="I25" s="217"/>
      <c r="J25" s="217"/>
      <c r="K25" s="217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</row>
  </sheetData>
  <phoneticPr fontId="19" type="noConversion"/>
  <pageMargins left="0.78740157480314965" right="0.59055118110236227" top="1.5748031496062993" bottom="0.59055118110236227" header="0.51181102362204722" footer="0.51181102362204722"/>
  <pageSetup paperSize="5" scale="90" orientation="landscape" horizontalDpi="300" verticalDpi="300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25"/>
  <sheetViews>
    <sheetView topLeftCell="A17" workbookViewId="0">
      <selection activeCell="F17" sqref="F17"/>
    </sheetView>
  </sheetViews>
  <sheetFormatPr baseColWidth="10" defaultRowHeight="12.75"/>
  <cols>
    <col min="1" max="1" width="6.28515625" customWidth="1"/>
    <col min="2" max="2" width="6" customWidth="1"/>
    <col min="3" max="3" width="5" customWidth="1"/>
    <col min="4" max="4" width="5.42578125" customWidth="1"/>
    <col min="5" max="5" width="5.85546875" customWidth="1"/>
    <col min="6" max="6" width="5.7109375" customWidth="1"/>
    <col min="7" max="9" width="6.5703125" customWidth="1"/>
    <col min="10" max="10" width="4" customWidth="1"/>
    <col min="11" max="11" width="5.85546875" customWidth="1"/>
    <col min="12" max="12" width="4" customWidth="1"/>
    <col min="13" max="13" width="5.85546875" customWidth="1"/>
    <col min="14" max="14" width="4" customWidth="1"/>
    <col min="15" max="15" width="5.85546875" customWidth="1"/>
    <col min="16" max="16" width="4.140625" customWidth="1"/>
    <col min="17" max="19" width="5.85546875" customWidth="1"/>
    <col min="20" max="20" width="4.28515625" customWidth="1"/>
    <col min="21" max="21" width="5.85546875" customWidth="1"/>
    <col min="22" max="22" width="3.85546875" customWidth="1"/>
    <col min="23" max="23" width="5.85546875" customWidth="1"/>
    <col min="24" max="24" width="4.28515625" customWidth="1"/>
    <col min="25" max="25" width="5.85546875" customWidth="1"/>
    <col min="26" max="26" width="4.28515625" customWidth="1"/>
    <col min="27" max="27" width="5.85546875" customWidth="1"/>
    <col min="28" max="28" width="4.140625" customWidth="1"/>
    <col min="29" max="29" width="5.85546875" customWidth="1"/>
    <col min="30" max="30" width="4" customWidth="1"/>
    <col min="31" max="31" width="5.85546875" customWidth="1"/>
  </cols>
  <sheetData>
    <row r="1" spans="1:31">
      <c r="A1" s="149" t="s">
        <v>747</v>
      </c>
      <c r="B1" s="149"/>
      <c r="C1" s="117"/>
      <c r="D1" s="117"/>
      <c r="E1" s="117"/>
      <c r="F1" s="149"/>
      <c r="G1" s="149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</row>
    <row r="2" spans="1:31">
      <c r="A2" s="149"/>
      <c r="B2" s="149"/>
      <c r="C2" s="117"/>
      <c r="D2" s="117"/>
      <c r="E2" s="117"/>
      <c r="F2" s="149"/>
      <c r="G2" s="149"/>
      <c r="H2" s="117"/>
      <c r="I2" s="117"/>
      <c r="J2" s="117"/>
      <c r="K2" s="117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</row>
    <row r="3" spans="1:31">
      <c r="A3" s="149" t="str">
        <f>+'25'!A3</f>
        <v>AÑOS   2005  - 2014</v>
      </c>
      <c r="B3" s="149"/>
      <c r="C3" s="117"/>
      <c r="D3" s="117"/>
      <c r="E3" s="117"/>
      <c r="F3" s="149"/>
      <c r="G3" s="149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/>
      <c r="AC3" s="117"/>
      <c r="AD3" s="117"/>
      <c r="AE3" s="117"/>
    </row>
    <row r="4" spans="1:31">
      <c r="A4" s="117"/>
      <c r="B4" s="117"/>
      <c r="C4" s="117"/>
      <c r="D4" s="117"/>
      <c r="E4" s="117"/>
      <c r="F4" s="117"/>
      <c r="G4" s="117"/>
      <c r="H4" s="117"/>
      <c r="I4" s="117"/>
      <c r="J4" s="117"/>
      <c r="K4" s="117"/>
      <c r="L4" s="117"/>
      <c r="M4" s="117"/>
      <c r="N4" s="117"/>
      <c r="O4" s="117"/>
      <c r="P4" s="117"/>
      <c r="Q4" s="117"/>
      <c r="R4" s="117"/>
      <c r="S4" s="117"/>
      <c r="T4" s="117"/>
      <c r="U4" s="117"/>
      <c r="V4" s="117"/>
      <c r="W4" s="117"/>
      <c r="X4" s="117"/>
      <c r="Y4" s="117"/>
      <c r="Z4" s="117"/>
      <c r="AA4" s="117"/>
      <c r="AB4" s="117"/>
      <c r="AC4" s="117"/>
      <c r="AD4" s="117"/>
      <c r="AE4" s="117"/>
    </row>
    <row r="5" spans="1:31">
      <c r="A5" s="1"/>
      <c r="B5" s="117"/>
      <c r="C5" s="117"/>
      <c r="D5" s="117"/>
      <c r="E5" s="117"/>
      <c r="F5" s="117"/>
      <c r="G5" s="117"/>
      <c r="H5" s="117"/>
      <c r="I5" s="117"/>
      <c r="J5" s="117"/>
      <c r="K5" s="117"/>
      <c r="L5" s="117"/>
      <c r="M5" s="117"/>
      <c r="N5" s="117"/>
      <c r="O5" s="117"/>
      <c r="P5" s="117"/>
      <c r="Q5" s="117"/>
      <c r="R5" s="117"/>
      <c r="S5" s="117"/>
      <c r="T5" s="117"/>
      <c r="U5" s="117"/>
      <c r="V5" s="117"/>
      <c r="W5" s="117"/>
      <c r="X5" s="117"/>
      <c r="Y5" s="117"/>
      <c r="Z5" s="117"/>
      <c r="AA5" s="117"/>
      <c r="AB5" s="117"/>
      <c r="AC5" s="117"/>
      <c r="AD5" s="117"/>
      <c r="AE5" s="117"/>
    </row>
    <row r="6" spans="1:31" ht="19.5" customHeight="1">
      <c r="A6" s="90"/>
      <c r="B6" s="287"/>
      <c r="C6" s="288"/>
      <c r="D6" s="287"/>
      <c r="E6" s="288"/>
      <c r="F6" s="287"/>
      <c r="G6" s="288"/>
      <c r="H6" s="246"/>
      <c r="I6" s="87"/>
      <c r="J6" s="122" t="s">
        <v>708</v>
      </c>
      <c r="K6" s="122"/>
      <c r="L6" s="122"/>
      <c r="M6" s="122"/>
      <c r="N6" s="122"/>
      <c r="O6" s="122"/>
      <c r="P6" s="122"/>
      <c r="Q6" s="122"/>
      <c r="R6" s="122"/>
      <c r="S6" s="122"/>
      <c r="T6" s="122"/>
      <c r="U6" s="122"/>
      <c r="V6" s="122"/>
      <c r="W6" s="122"/>
      <c r="X6" s="122"/>
      <c r="Y6" s="122"/>
      <c r="Z6" s="122"/>
      <c r="AA6" s="122"/>
      <c r="AB6" s="122"/>
      <c r="AC6" s="122"/>
      <c r="AD6" s="87"/>
      <c r="AE6" s="88"/>
    </row>
    <row r="7" spans="1:31">
      <c r="A7" s="252"/>
      <c r="B7" s="204"/>
      <c r="C7" s="253"/>
      <c r="D7" s="204"/>
      <c r="E7" s="255"/>
      <c r="F7" s="217" t="s">
        <v>716</v>
      </c>
      <c r="G7" s="282"/>
      <c r="H7" s="187" t="s">
        <v>717</v>
      </c>
      <c r="I7" s="249"/>
      <c r="J7" s="250"/>
      <c r="K7" s="251"/>
      <c r="L7" s="250"/>
      <c r="M7" s="251"/>
      <c r="N7" s="250"/>
      <c r="O7" s="251"/>
      <c r="P7" s="250"/>
      <c r="Q7" s="251"/>
      <c r="R7" s="187" t="s">
        <v>717</v>
      </c>
      <c r="S7" s="249"/>
      <c r="T7" s="250"/>
      <c r="U7" s="251"/>
      <c r="V7" s="250"/>
      <c r="W7" s="251"/>
      <c r="X7" s="250"/>
      <c r="Y7" s="251"/>
      <c r="Z7" s="221"/>
      <c r="AA7" s="251"/>
      <c r="AB7" s="250"/>
      <c r="AC7" s="251"/>
      <c r="AD7" s="250"/>
      <c r="AE7" s="251"/>
    </row>
    <row r="8" spans="1:31" ht="18" customHeight="1">
      <c r="A8" s="252" t="s">
        <v>709</v>
      </c>
      <c r="B8" s="204" t="s">
        <v>714</v>
      </c>
      <c r="C8" s="204"/>
      <c r="D8" s="204" t="s">
        <v>715</v>
      </c>
      <c r="E8" s="253"/>
      <c r="F8" s="204" t="s">
        <v>718</v>
      </c>
      <c r="G8" s="253"/>
      <c r="H8" s="204" t="s">
        <v>699</v>
      </c>
      <c r="I8" s="253"/>
      <c r="J8" s="204" t="s">
        <v>699</v>
      </c>
      <c r="K8" s="253"/>
      <c r="L8" s="254" t="s">
        <v>480</v>
      </c>
      <c r="M8" s="255"/>
      <c r="N8" s="204" t="s">
        <v>720</v>
      </c>
      <c r="O8" s="253"/>
      <c r="P8" s="204" t="s">
        <v>483</v>
      </c>
      <c r="Q8" s="253"/>
      <c r="R8" s="204" t="s">
        <v>721</v>
      </c>
      <c r="S8" s="253"/>
      <c r="T8" s="204" t="s">
        <v>721</v>
      </c>
      <c r="U8" s="253"/>
      <c r="V8" s="204" t="s">
        <v>445</v>
      </c>
      <c r="W8" s="253"/>
      <c r="X8" s="204" t="s">
        <v>463</v>
      </c>
      <c r="Y8" s="253"/>
      <c r="Z8" s="204" t="s">
        <v>468</v>
      </c>
      <c r="AA8" s="253"/>
      <c r="AB8" s="204" t="s">
        <v>722</v>
      </c>
      <c r="AC8" s="253"/>
      <c r="AD8" s="204" t="s">
        <v>470</v>
      </c>
      <c r="AE8" s="253"/>
    </row>
    <row r="9" spans="1:31" ht="18.75" customHeight="1">
      <c r="A9" s="256"/>
      <c r="B9" s="257" t="s">
        <v>736</v>
      </c>
      <c r="C9" s="259" t="s">
        <v>737</v>
      </c>
      <c r="D9" s="257" t="s">
        <v>736</v>
      </c>
      <c r="E9" s="259" t="s">
        <v>737</v>
      </c>
      <c r="F9" s="257" t="s">
        <v>736</v>
      </c>
      <c r="G9" s="259" t="s">
        <v>737</v>
      </c>
      <c r="H9" s="257" t="s">
        <v>736</v>
      </c>
      <c r="I9" s="258" t="s">
        <v>737</v>
      </c>
      <c r="J9" s="257" t="s">
        <v>736</v>
      </c>
      <c r="K9" s="258" t="s">
        <v>737</v>
      </c>
      <c r="L9" s="257" t="s">
        <v>736</v>
      </c>
      <c r="M9" s="259" t="s">
        <v>737</v>
      </c>
      <c r="N9" s="257" t="s">
        <v>736</v>
      </c>
      <c r="O9" s="259" t="s">
        <v>737</v>
      </c>
      <c r="P9" s="257" t="s">
        <v>736</v>
      </c>
      <c r="Q9" s="259" t="s">
        <v>737</v>
      </c>
      <c r="R9" s="257" t="s">
        <v>736</v>
      </c>
      <c r="S9" s="258" t="s">
        <v>737</v>
      </c>
      <c r="T9" s="257" t="s">
        <v>736</v>
      </c>
      <c r="U9" s="259" t="s">
        <v>737</v>
      </c>
      <c r="V9" s="257" t="s">
        <v>736</v>
      </c>
      <c r="W9" s="259" t="s">
        <v>737</v>
      </c>
      <c r="X9" s="257" t="s">
        <v>736</v>
      </c>
      <c r="Y9" s="259" t="s">
        <v>737</v>
      </c>
      <c r="Z9" s="257" t="s">
        <v>736</v>
      </c>
      <c r="AA9" s="259" t="s">
        <v>737</v>
      </c>
      <c r="AB9" s="257" t="s">
        <v>736</v>
      </c>
      <c r="AC9" s="259" t="s">
        <v>737</v>
      </c>
      <c r="AD9" s="257" t="s">
        <v>736</v>
      </c>
      <c r="AE9" s="259" t="s">
        <v>737</v>
      </c>
    </row>
    <row r="10" spans="1:31">
      <c r="A10" s="90"/>
      <c r="B10" s="287"/>
      <c r="C10" s="288"/>
      <c r="D10" s="287"/>
      <c r="E10" s="288"/>
      <c r="F10" s="287"/>
      <c r="G10" s="288"/>
      <c r="H10" s="289"/>
      <c r="I10" s="289"/>
      <c r="J10" s="287"/>
      <c r="K10" s="288"/>
      <c r="L10" s="287"/>
      <c r="M10" s="288"/>
      <c r="N10" s="287"/>
      <c r="O10" s="288"/>
      <c r="P10" s="287"/>
      <c r="Q10" s="288"/>
      <c r="R10" s="289"/>
      <c r="S10" s="289"/>
      <c r="T10" s="287"/>
      <c r="U10" s="288"/>
      <c r="V10" s="287"/>
      <c r="W10" s="288"/>
      <c r="X10" s="287"/>
      <c r="Y10" s="288"/>
      <c r="Z10" s="287"/>
      <c r="AA10" s="288"/>
      <c r="AB10" s="287"/>
      <c r="AC10" s="288"/>
      <c r="AD10" s="289"/>
      <c r="AE10" s="288"/>
    </row>
    <row r="11" spans="1:31" s="6" customFormat="1" ht="26.25" customHeight="1">
      <c r="A11" s="261">
        <f>+'25'!A11</f>
        <v>2005</v>
      </c>
      <c r="B11" s="207">
        <v>657</v>
      </c>
      <c r="C11" s="275">
        <f>+B11/'17'!B11*1000</f>
        <v>2.7039262490739975</v>
      </c>
      <c r="D11" s="264">
        <v>62</v>
      </c>
      <c r="E11" s="275">
        <f>+D11/'17'!D11*1000</f>
        <v>2.6488934461249252</v>
      </c>
      <c r="F11" s="207">
        <f t="shared" ref="F11:F17" si="0">+J11+L11+N11+P11+T11+V11+X11+Z11+AB11+AD11</f>
        <v>7</v>
      </c>
      <c r="G11" s="274">
        <f>+F11/'17'!F11*1000</f>
        <v>1.9047619047619047</v>
      </c>
      <c r="H11" s="283">
        <f t="shared" ref="H11:H18" si="1">+J11+L11+N11+P11</f>
        <v>3</v>
      </c>
      <c r="I11" s="277">
        <f>+H11/'17'!H11*1000</f>
        <v>1.9685039370078741</v>
      </c>
      <c r="J11" s="207">
        <v>0</v>
      </c>
      <c r="K11" s="277">
        <f>+J11/'17'!J11*1000</f>
        <v>0</v>
      </c>
      <c r="L11" s="207">
        <v>2</v>
      </c>
      <c r="M11" s="262">
        <f>+L11/'17'!L11*1000</f>
        <v>9.2165898617511512</v>
      </c>
      <c r="N11" s="207">
        <v>0</v>
      </c>
      <c r="O11" s="274">
        <f>+N11/'17'!N11*1000</f>
        <v>0</v>
      </c>
      <c r="P11" s="207">
        <v>1</v>
      </c>
      <c r="Q11" s="274">
        <f>+P11/'17'!P11*1000</f>
        <v>8.4745762711864412</v>
      </c>
      <c r="R11" s="207">
        <f t="shared" ref="R11:R16" si="2">+T11+V11+X11+Z11+AB11+AD11</f>
        <v>4</v>
      </c>
      <c r="S11" s="277">
        <f>+R11/'17'!R11*1000</f>
        <v>1.8596001859600186</v>
      </c>
      <c r="T11" s="207">
        <v>3</v>
      </c>
      <c r="U11" s="274">
        <f>+T11/'17'!T11*1000</f>
        <v>2.6041666666666665</v>
      </c>
      <c r="V11" s="207">
        <v>1</v>
      </c>
      <c r="W11" s="274">
        <f>+V11/'17'!V11*1000</f>
        <v>5.6818181818181817</v>
      </c>
      <c r="X11" s="207">
        <v>0</v>
      </c>
      <c r="Y11" s="274">
        <f>+X11/'17'!X11*1000</f>
        <v>0</v>
      </c>
      <c r="Z11" s="207">
        <v>0</v>
      </c>
      <c r="AA11" s="274">
        <f>+Z11/'17'!Z11*1000</f>
        <v>0</v>
      </c>
      <c r="AB11" s="207">
        <v>0</v>
      </c>
      <c r="AC11" s="262">
        <f>+AB11/'17'!AB11*1000</f>
        <v>0</v>
      </c>
      <c r="AD11" s="207">
        <v>0</v>
      </c>
      <c r="AE11" s="262">
        <f>+AD11/'17'!AD11*1000</f>
        <v>0</v>
      </c>
    </row>
    <row r="12" spans="1:31" s="6" customFormat="1" ht="26.25" customHeight="1">
      <c r="A12" s="261">
        <f>+'25'!A12</f>
        <v>2006</v>
      </c>
      <c r="B12" s="207">
        <v>590</v>
      </c>
      <c r="C12" s="275">
        <f>+B12/'17'!B12*1000</f>
        <v>2.4223911053083209</v>
      </c>
      <c r="D12" s="264">
        <v>56</v>
      </c>
      <c r="E12" s="275">
        <f>+D12/'17'!D12*1000</f>
        <v>2.4547407180116601</v>
      </c>
      <c r="F12" s="207">
        <f t="shared" si="0"/>
        <v>12</v>
      </c>
      <c r="G12" s="274">
        <f>+F12/'17'!F12*1000</f>
        <v>3.3917467495760318</v>
      </c>
      <c r="H12" s="283">
        <f t="shared" si="1"/>
        <v>4</v>
      </c>
      <c r="I12" s="277">
        <f>+H12/'17'!H12*1000</f>
        <v>2.834868887313962</v>
      </c>
      <c r="J12" s="207">
        <v>2</v>
      </c>
      <c r="K12" s="277">
        <f>+J12/'17'!J12*1000</f>
        <v>2.1482277121374866</v>
      </c>
      <c r="L12" s="207">
        <v>1</v>
      </c>
      <c r="M12" s="262">
        <f>+L12/'17'!L11*1000</f>
        <v>4.6082949308755756</v>
      </c>
      <c r="N12" s="207">
        <v>0</v>
      </c>
      <c r="O12" s="274">
        <f>+N12/'17'!N12*1000</f>
        <v>0</v>
      </c>
      <c r="P12" s="207">
        <v>1</v>
      </c>
      <c r="Q12" s="274">
        <f>+P12/'17'!P12*1000</f>
        <v>9.7087378640776691</v>
      </c>
      <c r="R12" s="207">
        <f t="shared" si="2"/>
        <v>8</v>
      </c>
      <c r="S12" s="277">
        <f>+R12/'17'!R12*1000</f>
        <v>3.7611659614480488</v>
      </c>
      <c r="T12" s="207">
        <v>3</v>
      </c>
      <c r="U12" s="274">
        <f>+T12/'17'!T12*1000</f>
        <v>2.6737967914438503</v>
      </c>
      <c r="V12" s="207">
        <v>0</v>
      </c>
      <c r="W12" s="274">
        <f>+V12/'17'!V12*1000</f>
        <v>0</v>
      </c>
      <c r="X12" s="207">
        <v>0</v>
      </c>
      <c r="Y12" s="274">
        <f>+X12/'17'!X12*1000</f>
        <v>0</v>
      </c>
      <c r="Z12" s="207">
        <v>1</v>
      </c>
      <c r="AA12" s="274">
        <f>+Z12/'17'!Z12*1000</f>
        <v>8.8495575221238933</v>
      </c>
      <c r="AB12" s="207">
        <v>3</v>
      </c>
      <c r="AC12" s="262">
        <f>+AB12/'17'!AB12*1000</f>
        <v>8.9285714285714288</v>
      </c>
      <c r="AD12" s="207">
        <v>1</v>
      </c>
      <c r="AE12" s="262">
        <f>+AD12/'17'!AD12*1000</f>
        <v>5.1546391752577323</v>
      </c>
    </row>
    <row r="13" spans="1:31" s="6" customFormat="1" ht="26.25" customHeight="1">
      <c r="A13" s="261">
        <f>+'25'!A13</f>
        <v>2007</v>
      </c>
      <c r="B13" s="207">
        <v>653</v>
      </c>
      <c r="C13" s="275">
        <f>+B13/'17'!B13*1000</f>
        <v>2.697745131251704</v>
      </c>
      <c r="D13" s="264">
        <v>58</v>
      </c>
      <c r="E13" s="275">
        <f>+D13/'17'!D13*1000</f>
        <v>2.5425214799228479</v>
      </c>
      <c r="F13" s="207">
        <f t="shared" si="0"/>
        <v>3</v>
      </c>
      <c r="G13" s="274">
        <f>+F13/'17'!F13*1000</f>
        <v>0.83102493074792239</v>
      </c>
      <c r="H13" s="283">
        <f t="shared" si="1"/>
        <v>1</v>
      </c>
      <c r="I13" s="277">
        <f>+H13/'17'!H13*1000</f>
        <v>0.69348127600554788</v>
      </c>
      <c r="J13" s="207">
        <v>1</v>
      </c>
      <c r="K13" s="277">
        <f>+J13/'17'!J13*1000</f>
        <v>1.0183299389002036</v>
      </c>
      <c r="L13" s="207">
        <v>0</v>
      </c>
      <c r="M13" s="262">
        <f>+L13/'17'!L12*1000</f>
        <v>0</v>
      </c>
      <c r="N13" s="207">
        <v>0</v>
      </c>
      <c r="O13" s="274">
        <f>+N13/'17'!N13*1000</f>
        <v>0</v>
      </c>
      <c r="P13" s="207">
        <v>0</v>
      </c>
      <c r="Q13" s="274">
        <f>+P13/'17'!P13*1000</f>
        <v>0</v>
      </c>
      <c r="R13" s="207">
        <f t="shared" si="2"/>
        <v>2</v>
      </c>
      <c r="S13" s="277">
        <f>+R13/'17'!R13*1000</f>
        <v>0.92250922509225086</v>
      </c>
      <c r="T13" s="207">
        <v>2</v>
      </c>
      <c r="U13" s="274">
        <f>+T13/'17'!T13*1000</f>
        <v>1.6556291390728477</v>
      </c>
      <c r="V13" s="207">
        <v>0</v>
      </c>
      <c r="W13" s="274">
        <f>+V13/'17'!V13*1000</f>
        <v>0</v>
      </c>
      <c r="X13" s="207">
        <v>0</v>
      </c>
      <c r="Y13" s="274">
        <f>+X13/'17'!X13*1000</f>
        <v>0</v>
      </c>
      <c r="Z13" s="207">
        <v>0</v>
      </c>
      <c r="AA13" s="274">
        <f>+Z13/'17'!Z13*1000</f>
        <v>0</v>
      </c>
      <c r="AB13" s="207">
        <v>0</v>
      </c>
      <c r="AC13" s="262">
        <f>+AB13/'17'!AB13*1000</f>
        <v>0</v>
      </c>
      <c r="AD13" s="207">
        <v>0</v>
      </c>
      <c r="AE13" s="262">
        <f>+AD13/'17'!AD13*1000</f>
        <v>0</v>
      </c>
    </row>
    <row r="14" spans="1:31" s="6" customFormat="1" ht="26.25" customHeight="1">
      <c r="A14" s="261">
        <f>+'25'!A14</f>
        <v>2008</v>
      </c>
      <c r="B14" s="207">
        <v>579</v>
      </c>
      <c r="C14" s="275">
        <f>+B14/'17'!B14*1000</f>
        <v>2.3312369648019455</v>
      </c>
      <c r="D14" s="264">
        <v>49</v>
      </c>
      <c r="E14" s="275">
        <f>+D14/'17'!D14*1000</f>
        <v>2.1117958884626988</v>
      </c>
      <c r="F14" s="207">
        <f t="shared" si="0"/>
        <v>4</v>
      </c>
      <c r="G14" s="274">
        <f>+F14/'17'!F14*1000</f>
        <v>1.0908099263703299</v>
      </c>
      <c r="H14" s="283">
        <f t="shared" si="1"/>
        <v>2</v>
      </c>
      <c r="I14" s="277">
        <f>+H14/'17'!H14*1000</f>
        <v>1.3577732518669381</v>
      </c>
      <c r="J14" s="207">
        <v>2</v>
      </c>
      <c r="K14" s="277">
        <f>+J14/'17'!J14*1000</f>
        <v>2.0725388601036268</v>
      </c>
      <c r="L14" s="207">
        <v>0</v>
      </c>
      <c r="M14" s="262">
        <f>+L14/'17'!L11*1000</f>
        <v>0</v>
      </c>
      <c r="N14" s="207">
        <v>0</v>
      </c>
      <c r="O14" s="274">
        <f>+N14/'17'!N13*1000</f>
        <v>0</v>
      </c>
      <c r="P14" s="207">
        <v>0</v>
      </c>
      <c r="Q14" s="274">
        <f>+P14/'17'!P14*1000</f>
        <v>0</v>
      </c>
      <c r="R14" s="207">
        <f t="shared" si="2"/>
        <v>2</v>
      </c>
      <c r="S14" s="277">
        <f>+R14/'17'!R13*1000</f>
        <v>0.92250922509225086</v>
      </c>
      <c r="T14" s="207">
        <v>1</v>
      </c>
      <c r="U14" s="274">
        <f>+T14/'17'!T13*1000</f>
        <v>0.82781456953642385</v>
      </c>
      <c r="V14" s="207">
        <v>0</v>
      </c>
      <c r="W14" s="274">
        <f>+V14/'17'!V13*1000</f>
        <v>0</v>
      </c>
      <c r="X14" s="207">
        <v>0</v>
      </c>
      <c r="Y14" s="274">
        <f>+X14/'17'!X13*1000</f>
        <v>0</v>
      </c>
      <c r="Z14" s="207">
        <v>1</v>
      </c>
      <c r="AA14" s="274">
        <f>+Z14/'17'!Z14*1000</f>
        <v>7.9365079365079358</v>
      </c>
      <c r="AB14" s="207">
        <v>0</v>
      </c>
      <c r="AC14" s="262">
        <f>+AB14/'17'!AB13*1000</f>
        <v>0</v>
      </c>
      <c r="AD14" s="207">
        <v>0</v>
      </c>
      <c r="AE14" s="262">
        <f>+AD14/'17'!AD13*1000</f>
        <v>0</v>
      </c>
    </row>
    <row r="15" spans="1:31" s="6" customFormat="1" ht="26.25" customHeight="1">
      <c r="A15" s="261">
        <f>+'25'!A15</f>
        <v>2009</v>
      </c>
      <c r="B15" s="207">
        <v>638</v>
      </c>
      <c r="C15" s="275">
        <f>+B15/'17'!B15*1000</f>
        <v>2.529337139232477</v>
      </c>
      <c r="D15" s="264">
        <v>62</v>
      </c>
      <c r="E15" s="275">
        <f>+D15/'17'!D15*1000</f>
        <v>2.6121761112281443</v>
      </c>
      <c r="F15" s="207">
        <f t="shared" si="0"/>
        <v>9</v>
      </c>
      <c r="G15" s="274">
        <f>+F15/'17'!F15*1000</f>
        <v>2.4311183144246353</v>
      </c>
      <c r="H15" s="283">
        <f t="shared" si="1"/>
        <v>2</v>
      </c>
      <c r="I15" s="277">
        <f>+H15/'17'!H15*1000</f>
        <v>1.3037809647979139</v>
      </c>
      <c r="J15" s="207">
        <v>0</v>
      </c>
      <c r="K15" s="277">
        <f>+J15/'17'!J15*1000</f>
        <v>0</v>
      </c>
      <c r="L15" s="207">
        <v>0</v>
      </c>
      <c r="M15" s="262">
        <f>+L15/'17'!L12*1000</f>
        <v>0</v>
      </c>
      <c r="N15" s="207">
        <v>1</v>
      </c>
      <c r="O15" s="274">
        <f>+N15/'17'!N15*1000</f>
        <v>6.4102564102564097</v>
      </c>
      <c r="P15" s="207">
        <v>1</v>
      </c>
      <c r="Q15" s="274">
        <f>+P15/'17'!P15*1000</f>
        <v>7.518796992481203</v>
      </c>
      <c r="R15" s="207">
        <f t="shared" si="2"/>
        <v>7</v>
      </c>
      <c r="S15" s="277">
        <f>+R15/'17'!R15*1000</f>
        <v>3.2287822878228782</v>
      </c>
      <c r="T15" s="207">
        <v>3</v>
      </c>
      <c r="U15" s="274">
        <f>+T15/'17'!T15*1000</f>
        <v>2.5662959794696323</v>
      </c>
      <c r="V15" s="207">
        <v>1</v>
      </c>
      <c r="W15" s="274">
        <f>+V15/'17'!V15*1000</f>
        <v>4.9261083743842367</v>
      </c>
      <c r="X15" s="207">
        <v>0</v>
      </c>
      <c r="Y15" s="274">
        <f>+X15/'17'!X15*1000</f>
        <v>0</v>
      </c>
      <c r="Z15" s="207">
        <v>2</v>
      </c>
      <c r="AA15" s="274">
        <f>+Z15/'17'!Z15*1000</f>
        <v>19.801980198019802</v>
      </c>
      <c r="AB15" s="207">
        <v>0</v>
      </c>
      <c r="AC15" s="262">
        <f>+AB15/'17'!AB15*1000</f>
        <v>0</v>
      </c>
      <c r="AD15" s="207">
        <v>1</v>
      </c>
      <c r="AE15" s="262">
        <f>+AD15/'17'!AD15*1000</f>
        <v>5.5248618784530388</v>
      </c>
    </row>
    <row r="16" spans="1:31" s="6" customFormat="1" ht="26.25" customHeight="1">
      <c r="A16" s="261">
        <f>+'25'!A16</f>
        <v>2010</v>
      </c>
      <c r="B16" s="207">
        <v>579</v>
      </c>
      <c r="C16" s="275">
        <f>+B16/'17'!B16*1000</f>
        <v>2.3049454814708659</v>
      </c>
      <c r="D16" s="264">
        <v>56</v>
      </c>
      <c r="E16" s="275">
        <f>+D16/'17'!D16*1000</f>
        <v>2.3509655751469354</v>
      </c>
      <c r="F16" s="207">
        <f t="shared" si="0"/>
        <v>8</v>
      </c>
      <c r="G16" s="274">
        <f>+F16/'17'!F16*1000</f>
        <v>2.0376974019358127</v>
      </c>
      <c r="H16" s="283">
        <f t="shared" si="1"/>
        <v>2</v>
      </c>
      <c r="I16" s="277">
        <f>+H16/'17'!H16*1000</f>
        <v>1.2040939193257074</v>
      </c>
      <c r="J16" s="207">
        <v>0</v>
      </c>
      <c r="K16" s="277">
        <f>+J16/'17'!J16*1000</f>
        <v>0</v>
      </c>
      <c r="L16" s="207">
        <v>2</v>
      </c>
      <c r="M16" s="262">
        <f>+L16/'17'!L13*1000</f>
        <v>9.5238095238095255</v>
      </c>
      <c r="N16" s="207">
        <v>0</v>
      </c>
      <c r="O16" s="274">
        <f>+N16/'17'!N16*1000</f>
        <v>0</v>
      </c>
      <c r="P16" s="207">
        <v>0</v>
      </c>
      <c r="Q16" s="274">
        <f>+P16/'17'!P16*1000</f>
        <v>0</v>
      </c>
      <c r="R16" s="207">
        <f t="shared" si="2"/>
        <v>6</v>
      </c>
      <c r="S16" s="277">
        <f>+R16/'17'!R16*1000</f>
        <v>2.6490066225165565</v>
      </c>
      <c r="T16" s="207">
        <v>3</v>
      </c>
      <c r="U16" s="274">
        <f>+T16/'17'!T16*1000</f>
        <v>2.4650780608052587</v>
      </c>
      <c r="V16" s="207">
        <v>0</v>
      </c>
      <c r="W16" s="274">
        <f>+V16/'17'!V16*1000</f>
        <v>0</v>
      </c>
      <c r="X16" s="207">
        <v>2</v>
      </c>
      <c r="Y16" s="274">
        <f>+X16/'17'!X16*1000</f>
        <v>10.362694300518134</v>
      </c>
      <c r="Z16" s="207">
        <v>0</v>
      </c>
      <c r="AA16" s="274">
        <f>+Z16/'17'!Z16*1000</f>
        <v>0</v>
      </c>
      <c r="AB16" s="207">
        <v>1</v>
      </c>
      <c r="AC16" s="262">
        <f>+AB16/'17'!AB16*1000</f>
        <v>3.0303030303030303</v>
      </c>
      <c r="AD16" s="207">
        <v>0</v>
      </c>
      <c r="AE16" s="262">
        <f>+AD16/'17'!AD16*1000</f>
        <v>0</v>
      </c>
    </row>
    <row r="17" spans="1:31" s="6" customFormat="1" ht="26.25" customHeight="1">
      <c r="A17" s="261">
        <f>+'25'!A17</f>
        <v>2011</v>
      </c>
      <c r="B17" s="207">
        <v>562</v>
      </c>
      <c r="C17" s="275">
        <f>+B17/'17'!B17*1000</f>
        <v>2.2581254344480648</v>
      </c>
      <c r="D17" s="264">
        <v>59</v>
      </c>
      <c r="E17" s="275">
        <f>+D17/'17'!D17*1000</f>
        <v>2.4900818772685067</v>
      </c>
      <c r="F17" s="207">
        <f t="shared" si="0"/>
        <v>7</v>
      </c>
      <c r="G17" s="274">
        <f>+F17/'17'!F17*1000</f>
        <v>1.8929150892374256</v>
      </c>
      <c r="H17" s="283">
        <f t="shared" si="1"/>
        <v>2</v>
      </c>
      <c r="I17" s="277">
        <f>+H17/'17'!H17*1000</f>
        <v>1.3236267372600927</v>
      </c>
      <c r="J17" s="207">
        <v>2</v>
      </c>
      <c r="K17" s="277">
        <f>+J17/'17'!J17*1000</f>
        <v>2.0639834881320946</v>
      </c>
      <c r="L17" s="207">
        <v>0</v>
      </c>
      <c r="M17" s="262">
        <f>+L17/'17'!L14*1000</f>
        <v>0</v>
      </c>
      <c r="N17" s="207">
        <v>0</v>
      </c>
      <c r="O17" s="274">
        <f>+N17/'17'!N17*1000</f>
        <v>0</v>
      </c>
      <c r="P17" s="207">
        <v>0</v>
      </c>
      <c r="Q17" s="274">
        <f>+P17/'17'!P17*1000</f>
        <v>0</v>
      </c>
      <c r="R17" s="207">
        <f>+T17+V17+X17+Z17+AB17+AD17</f>
        <v>5</v>
      </c>
      <c r="S17" s="277">
        <f>+R17/'17'!R17*1000</f>
        <v>2.2862368541380889</v>
      </c>
      <c r="T17" s="207">
        <v>1</v>
      </c>
      <c r="U17" s="274">
        <f>+T17/'17'!T17*1000</f>
        <v>0.89285714285714279</v>
      </c>
      <c r="V17" s="207">
        <v>0</v>
      </c>
      <c r="W17" s="274">
        <f>+V17/'17'!V17*1000</f>
        <v>0</v>
      </c>
      <c r="X17" s="207">
        <v>1</v>
      </c>
      <c r="Y17" s="274">
        <f>+X17/'17'!X17*1000</f>
        <v>3.9682539682539679</v>
      </c>
      <c r="Z17" s="207">
        <v>0</v>
      </c>
      <c r="AA17" s="274">
        <f>+Z17/'17'!Z17*1000</f>
        <v>0</v>
      </c>
      <c r="AB17" s="207">
        <v>3</v>
      </c>
      <c r="AC17" s="262">
        <f>+AB17/'17'!AB17*1000</f>
        <v>9.2592592592592595</v>
      </c>
      <c r="AD17" s="207">
        <v>0</v>
      </c>
      <c r="AE17" s="262">
        <f>+AD17/'17'!AD17*1000</f>
        <v>0</v>
      </c>
    </row>
    <row r="18" spans="1:31" s="6" customFormat="1" ht="26.25" customHeight="1">
      <c r="A18" s="261">
        <f>+'25'!A18</f>
        <v>2012</v>
      </c>
      <c r="B18" s="266"/>
      <c r="C18" s="275"/>
      <c r="D18" s="264"/>
      <c r="E18" s="275"/>
      <c r="F18" s="207">
        <f>+J18+L18+N18+P18+T18+V18+X18+Z18+AB18+AD18</f>
        <v>5</v>
      </c>
      <c r="G18" s="274">
        <f>+F18/'17'!F18*1000</f>
        <v>1.3774104683195594</v>
      </c>
      <c r="H18" s="283">
        <f t="shared" si="1"/>
        <v>4</v>
      </c>
      <c r="I18" s="267">
        <f>+H18/'17'!H18*1000</f>
        <v>2.7643400138217</v>
      </c>
      <c r="J18" s="207">
        <v>4</v>
      </c>
      <c r="K18" s="277">
        <f>+J18/'17'!J18*1000</f>
        <v>4.2598509052183173</v>
      </c>
      <c r="L18" s="207">
        <v>0</v>
      </c>
      <c r="M18" s="262">
        <f>+L18/'17'!L15*1000</f>
        <v>0</v>
      </c>
      <c r="N18" s="207">
        <v>0</v>
      </c>
      <c r="O18" s="274">
        <f>+N18/'17'!N18*1000</f>
        <v>0</v>
      </c>
      <c r="P18" s="207">
        <v>0</v>
      </c>
      <c r="Q18" s="274">
        <f>+P18/'17'!P18*1000</f>
        <v>0</v>
      </c>
      <c r="R18" s="207">
        <f>+T18+V18+X18+Z18+AB18+AD18</f>
        <v>1</v>
      </c>
      <c r="S18" s="277">
        <f>+R18/'17'!R18*1000</f>
        <v>0.45808520384791573</v>
      </c>
      <c r="T18" s="207">
        <v>1</v>
      </c>
      <c r="U18" s="274">
        <f>+T18/'17'!T18*1000</f>
        <v>0.87108013937282225</v>
      </c>
      <c r="V18" s="207">
        <v>0</v>
      </c>
      <c r="W18" s="274">
        <f>+V18/'17'!V18*1000</f>
        <v>0</v>
      </c>
      <c r="X18" s="207"/>
      <c r="Y18" s="274">
        <f>+X18/'17'!X18*1000</f>
        <v>0</v>
      </c>
      <c r="Z18" s="207">
        <v>0</v>
      </c>
      <c r="AA18" s="274">
        <f>+Z18/'17'!Z18*1000</f>
        <v>0</v>
      </c>
      <c r="AB18" s="207">
        <v>0</v>
      </c>
      <c r="AC18" s="262">
        <f>+AB18/'17'!AB18*1000</f>
        <v>0</v>
      </c>
      <c r="AD18" s="207">
        <v>0</v>
      </c>
      <c r="AE18" s="262">
        <f>+AD18/'17'!AD18*1000</f>
        <v>0</v>
      </c>
    </row>
    <row r="19" spans="1:31" s="6" customFormat="1" ht="26.25" customHeight="1">
      <c r="A19" s="261">
        <f>+'25'!A19</f>
        <v>2013</v>
      </c>
      <c r="B19" s="266"/>
      <c r="C19" s="275"/>
      <c r="D19" s="264"/>
      <c r="E19" s="275"/>
      <c r="F19" s="207">
        <f>+J19+L19+N19+P19+T19+V19+X19+Z19+AB19+AD19</f>
        <v>5</v>
      </c>
      <c r="G19" s="274">
        <f>+F19/'17'!F19*1000</f>
        <v>1.4172335600907029</v>
      </c>
      <c r="H19" s="283">
        <f>+J19+L19+N19+P19</f>
        <v>2</v>
      </c>
      <c r="I19" s="267">
        <f>+H19/'17'!H19*1000</f>
        <v>1.371742112482853</v>
      </c>
      <c r="J19" s="207">
        <v>1</v>
      </c>
      <c r="K19" s="277">
        <f>+J19/'17'!J19*1000</f>
        <v>1.0976948408342482</v>
      </c>
      <c r="L19" s="207">
        <v>1</v>
      </c>
      <c r="M19" s="262">
        <f>+L19/'17'!L16*1000</f>
        <v>4.0160642570281118</v>
      </c>
      <c r="N19" s="207"/>
      <c r="O19" s="274">
        <f>+N19/'17'!N19*1000</f>
        <v>0</v>
      </c>
      <c r="P19" s="207"/>
      <c r="Q19" s="274">
        <f>+P19/'17'!P19*1000</f>
        <v>0</v>
      </c>
      <c r="R19" s="207">
        <f>+T19+V19+X19+Z19+AB19+AD19</f>
        <v>3</v>
      </c>
      <c r="S19" s="277">
        <f>+R19/'17'!R19*1000</f>
        <v>1.4492753623188406</v>
      </c>
      <c r="T19" s="207">
        <v>3</v>
      </c>
      <c r="U19" s="274">
        <f>+T19/'17'!T19*1000</f>
        <v>2.9527559055118111</v>
      </c>
      <c r="V19" s="207">
        <v>0</v>
      </c>
      <c r="W19" s="274">
        <f>+V19/'17'!V19*1000</f>
        <v>0</v>
      </c>
      <c r="X19" s="207"/>
      <c r="Y19" s="274">
        <f>+X19/'17'!X19*1000</f>
        <v>0</v>
      </c>
      <c r="Z19" s="207">
        <v>0</v>
      </c>
      <c r="AA19" s="274">
        <f>+Z19/'17'!Z19*1000</f>
        <v>0</v>
      </c>
      <c r="AB19" s="207">
        <v>0</v>
      </c>
      <c r="AC19" s="262">
        <f>+AB19/'17'!AB19*1000</f>
        <v>0</v>
      </c>
      <c r="AD19" s="207">
        <v>0</v>
      </c>
      <c r="AE19" s="262">
        <f>+AD19/'17'!AD19*1000</f>
        <v>0</v>
      </c>
    </row>
    <row r="20" spans="1:31" s="6" customFormat="1" ht="26.25" customHeight="1">
      <c r="A20" s="261">
        <f>+'25'!A20</f>
        <v>2014</v>
      </c>
      <c r="B20" s="266"/>
      <c r="C20" s="275"/>
      <c r="D20" s="264"/>
      <c r="E20" s="275"/>
      <c r="F20" s="207">
        <f>+J20+L20+N20+P20+T20+V20+X20+Z20+AB20+AD20</f>
        <v>8</v>
      </c>
      <c r="G20" s="274">
        <f>+F20/'17'!F20*1000</f>
        <v>2.1316280309086064</v>
      </c>
      <c r="H20" s="283">
        <f>+J20+L20+N20+P20</f>
        <v>3</v>
      </c>
      <c r="I20" s="267">
        <f>+H20/'17'!H20*1000</f>
        <v>1.9218449711723256</v>
      </c>
      <c r="J20" s="207">
        <v>3</v>
      </c>
      <c r="K20" s="277">
        <f>+J20/'17'!J20*1000</f>
        <v>2.9296875</v>
      </c>
      <c r="L20" s="207"/>
      <c r="M20" s="262">
        <f>+L20/'17'!L17*1000</f>
        <v>0</v>
      </c>
      <c r="N20" s="207"/>
      <c r="O20" s="274">
        <f>+N20/'17'!N20*1000</f>
        <v>0</v>
      </c>
      <c r="P20" s="207"/>
      <c r="Q20" s="274">
        <f>+P20/'17'!P20*1000</f>
        <v>0</v>
      </c>
      <c r="R20" s="207">
        <f>+T20+V20+X20+Z20+AB20+AD20</f>
        <v>5</v>
      </c>
      <c r="S20" s="277">
        <f>+R20/'17'!R20*1000</f>
        <v>2.2810218978102186</v>
      </c>
      <c r="T20" s="207">
        <v>3</v>
      </c>
      <c r="U20" s="274">
        <f>+T20/'17'!T20*1000</f>
        <v>2.7247956403269753</v>
      </c>
      <c r="V20" s="207">
        <v>0</v>
      </c>
      <c r="W20" s="274">
        <f>+V20/'17'!V20*1000</f>
        <v>0</v>
      </c>
      <c r="X20" s="207"/>
      <c r="Y20" s="274">
        <f>+X20/'17'!X20*1000</f>
        <v>0</v>
      </c>
      <c r="Z20" s="207">
        <v>1</v>
      </c>
      <c r="AA20" s="274">
        <f>+Z20/'17'!Z20*1000</f>
        <v>8.695652173913043</v>
      </c>
      <c r="AB20" s="207">
        <v>0</v>
      </c>
      <c r="AC20" s="262">
        <f>+AB20/'17'!AB20*1000</f>
        <v>0</v>
      </c>
      <c r="AD20" s="207">
        <v>1</v>
      </c>
      <c r="AE20" s="262">
        <f>+AD20/'17'!AD20*1000</f>
        <v>5.0761421319796947</v>
      </c>
    </row>
    <row r="21" spans="1:31">
      <c r="A21" s="268"/>
      <c r="B21" s="210"/>
      <c r="C21" s="285"/>
      <c r="D21" s="284"/>
      <c r="E21" s="285"/>
      <c r="F21" s="213"/>
      <c r="G21" s="269"/>
      <c r="H21" s="270"/>
      <c r="I21" s="269"/>
      <c r="J21" s="1122"/>
      <c r="K21" s="1123"/>
      <c r="L21" s="210"/>
      <c r="M21" s="269"/>
      <c r="N21" s="210"/>
      <c r="O21" s="269"/>
      <c r="P21" s="210"/>
      <c r="Q21" s="269"/>
      <c r="R21" s="270"/>
      <c r="S21" s="270"/>
      <c r="T21" s="210"/>
      <c r="U21" s="269"/>
      <c r="V21" s="210"/>
      <c r="W21" s="269"/>
      <c r="X21" s="210"/>
      <c r="Y21" s="269"/>
      <c r="Z21" s="210"/>
      <c r="AA21" s="269"/>
      <c r="AB21" s="210"/>
      <c r="AC21" s="269"/>
      <c r="AD21" s="270"/>
      <c r="AE21" s="269"/>
    </row>
    <row r="22" spans="1:31">
      <c r="A22" s="1"/>
      <c r="B22" s="1"/>
      <c r="C22" s="1"/>
      <c r="D22" s="1"/>
      <c r="E22" s="1"/>
      <c r="F22" s="1"/>
      <c r="G22" s="1"/>
      <c r="H22" s="1"/>
      <c r="I22" s="1"/>
      <c r="J22" s="217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</row>
    <row r="23" spans="1:31">
      <c r="A23" s="1"/>
      <c r="B23" s="221" t="str">
        <f>+'23'!B23</f>
        <v>AÑO   2014  :   DATOS POR OCURRENCIA   (Provisorios)</v>
      </c>
      <c r="C23" s="271"/>
      <c r="D23" s="217"/>
      <c r="E23" s="217"/>
      <c r="F23" s="217"/>
      <c r="G23" s="217"/>
      <c r="H23" s="217"/>
      <c r="I23" s="217"/>
      <c r="J23" s="217"/>
      <c r="K23" s="217"/>
      <c r="L23" s="217"/>
      <c r="M23" s="217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</row>
    <row r="24" spans="1:31">
      <c r="A24" s="1"/>
      <c r="B24" s="217"/>
      <c r="C24" s="221" t="s">
        <v>746</v>
      </c>
      <c r="D24" s="221"/>
      <c r="E24" s="217"/>
      <c r="F24" s="217"/>
      <c r="G24" s="217"/>
      <c r="H24" s="217"/>
      <c r="I24" s="217"/>
      <c r="J24" s="217"/>
      <c r="K24" s="217"/>
      <c r="L24" s="217"/>
      <c r="M24" s="217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</row>
    <row r="25" spans="1:31">
      <c r="A25" s="1"/>
      <c r="B25" s="217"/>
      <c r="C25" s="217"/>
      <c r="D25" s="217"/>
      <c r="E25" s="217"/>
      <c r="F25" s="217"/>
      <c r="G25" s="217"/>
      <c r="H25" s="217"/>
      <c r="I25" s="217"/>
      <c r="K25" s="217"/>
      <c r="L25" s="217"/>
      <c r="M25" s="217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</row>
  </sheetData>
  <phoneticPr fontId="19" type="noConversion"/>
  <pageMargins left="0.78740157480314965" right="0.59055118110236227" top="1.5748031496062993" bottom="0.59055118110236227" header="0.51181102362204722" footer="0.51181102362204722"/>
  <pageSetup paperSize="5" scale="90" orientation="landscape" horizontalDpi="300" verticalDpi="300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26"/>
  <sheetViews>
    <sheetView topLeftCell="A17" workbookViewId="0">
      <selection activeCell="F17" sqref="F17"/>
    </sheetView>
  </sheetViews>
  <sheetFormatPr baseColWidth="10" defaultRowHeight="12.75"/>
  <cols>
    <col min="1" max="2" width="5.42578125" customWidth="1"/>
    <col min="3" max="3" width="5.28515625" customWidth="1"/>
    <col min="4" max="4" width="5.7109375" customWidth="1"/>
    <col min="5" max="5" width="6.42578125" customWidth="1"/>
    <col min="6" max="6" width="5.42578125" customWidth="1"/>
    <col min="7" max="7" width="5.28515625" customWidth="1"/>
    <col min="8" max="8" width="5.85546875" customWidth="1"/>
    <col min="9" max="9" width="5.42578125" customWidth="1"/>
    <col min="10" max="10" width="4.7109375" customWidth="1"/>
    <col min="11" max="11" width="5.42578125" customWidth="1"/>
    <col min="12" max="12" width="4.7109375" customWidth="1"/>
    <col min="13" max="13" width="6" customWidth="1"/>
    <col min="14" max="14" width="4.7109375" customWidth="1"/>
    <col min="15" max="15" width="5.5703125" customWidth="1"/>
    <col min="16" max="16" width="4.7109375" customWidth="1"/>
    <col min="17" max="17" width="5.5703125" customWidth="1"/>
    <col min="18" max="19" width="5.28515625" customWidth="1"/>
    <col min="20" max="20" width="4.7109375" customWidth="1"/>
    <col min="21" max="21" width="6.28515625" customWidth="1"/>
    <col min="22" max="22" width="4.7109375" customWidth="1"/>
    <col min="23" max="23" width="5" customWidth="1"/>
    <col min="24" max="24" width="4.7109375" customWidth="1"/>
    <col min="25" max="25" width="6.28515625" customWidth="1"/>
    <col min="26" max="26" width="4.7109375" customWidth="1"/>
    <col min="27" max="27" width="5.7109375" customWidth="1"/>
    <col min="28" max="28" width="3.5703125" customWidth="1"/>
    <col min="29" max="29" width="6.28515625" customWidth="1"/>
    <col min="30" max="30" width="4.7109375" customWidth="1"/>
    <col min="31" max="31" width="5.42578125" customWidth="1"/>
  </cols>
  <sheetData>
    <row r="1" spans="1:31">
      <c r="A1" s="149" t="s">
        <v>748</v>
      </c>
      <c r="B1" s="1"/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</row>
    <row r="2" spans="1:31">
      <c r="A2" s="149"/>
      <c r="B2" s="117"/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</row>
    <row r="3" spans="1:31">
      <c r="A3" s="149" t="str">
        <f>+'27'!A3</f>
        <v>AÑOS   2005  - 2014</v>
      </c>
      <c r="B3" s="117"/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/>
      <c r="AC3" s="117"/>
      <c r="AD3" s="117"/>
      <c r="AE3" s="117"/>
    </row>
    <row r="4" spans="1:31">
      <c r="A4" s="117"/>
      <c r="B4" s="117"/>
      <c r="C4" s="117"/>
      <c r="D4" s="117"/>
      <c r="E4" s="117"/>
      <c r="F4" s="117"/>
      <c r="G4" s="117"/>
      <c r="H4" s="117"/>
      <c r="I4" s="117"/>
      <c r="J4" s="117"/>
      <c r="K4" s="117"/>
      <c r="L4" s="117"/>
      <c r="M4" s="117"/>
      <c r="N4" s="117"/>
      <c r="O4" s="117"/>
      <c r="P4" s="117"/>
      <c r="Q4" s="117"/>
      <c r="R4" s="117"/>
      <c r="S4" s="117"/>
      <c r="T4" s="117"/>
      <c r="U4" s="117"/>
      <c r="V4" s="117"/>
      <c r="W4" s="117"/>
      <c r="X4" s="117"/>
      <c r="Y4" s="117"/>
      <c r="Z4" s="117"/>
      <c r="AA4" s="117"/>
      <c r="AB4" s="117"/>
      <c r="AC4" s="117"/>
      <c r="AD4" s="117"/>
      <c r="AE4" s="117"/>
    </row>
    <row r="5" spans="1:31">
      <c r="A5" s="1"/>
      <c r="B5" s="117"/>
      <c r="C5" s="117"/>
      <c r="D5" s="117"/>
      <c r="E5" s="117"/>
      <c r="F5" s="117"/>
      <c r="G5" s="117"/>
      <c r="H5" s="117"/>
      <c r="I5" s="117"/>
      <c r="J5" s="117"/>
      <c r="K5" s="117"/>
      <c r="L5" s="117"/>
      <c r="M5" s="117"/>
      <c r="N5" s="117"/>
      <c r="O5" s="117"/>
      <c r="P5" s="117"/>
      <c r="Q5" s="117"/>
      <c r="R5" s="117"/>
      <c r="S5" s="117"/>
      <c r="T5" s="117"/>
      <c r="U5" s="117"/>
      <c r="V5" s="117"/>
      <c r="W5" s="117"/>
      <c r="X5" s="117"/>
      <c r="Y5" s="117"/>
      <c r="Z5" s="117"/>
      <c r="AA5" s="117"/>
      <c r="AB5" s="117"/>
      <c r="AC5" s="117"/>
      <c r="AD5" s="117"/>
      <c r="AE5" s="117"/>
    </row>
    <row r="6" spans="1:31" ht="18.75" customHeight="1">
      <c r="A6" s="290"/>
      <c r="B6" s="291"/>
      <c r="C6" s="292"/>
      <c r="D6" s="291"/>
      <c r="E6" s="292"/>
      <c r="F6" s="291"/>
      <c r="G6" s="292"/>
      <c r="H6" s="246"/>
      <c r="I6" s="87"/>
      <c r="J6" s="122" t="s">
        <v>708</v>
      </c>
      <c r="K6" s="122"/>
      <c r="L6" s="122"/>
      <c r="M6" s="122"/>
      <c r="N6" s="122"/>
      <c r="O6" s="122"/>
      <c r="P6" s="122"/>
      <c r="Q6" s="122"/>
      <c r="R6" s="122"/>
      <c r="S6" s="122"/>
      <c r="T6" s="122"/>
      <c r="U6" s="122"/>
      <c r="V6" s="122"/>
      <c r="W6" s="122"/>
      <c r="X6" s="122"/>
      <c r="Y6" s="122"/>
      <c r="Z6" s="122"/>
      <c r="AA6" s="122"/>
      <c r="AB6" s="122"/>
      <c r="AC6" s="122"/>
      <c r="AD6" s="87"/>
      <c r="AE6" s="88"/>
    </row>
    <row r="7" spans="1:31">
      <c r="A7" s="252"/>
      <c r="B7" s="204"/>
      <c r="C7" s="253"/>
      <c r="D7" s="204"/>
      <c r="E7" s="255"/>
      <c r="F7" s="217" t="s">
        <v>716</v>
      </c>
      <c r="G7" s="282"/>
      <c r="H7" s="187" t="s">
        <v>717</v>
      </c>
      <c r="I7" s="249"/>
      <c r="J7" s="250"/>
      <c r="K7" s="251"/>
      <c r="L7" s="250"/>
      <c r="M7" s="251"/>
      <c r="N7" s="250"/>
      <c r="O7" s="251"/>
      <c r="P7" s="250"/>
      <c r="Q7" s="251"/>
      <c r="R7" s="187" t="s">
        <v>717</v>
      </c>
      <c r="S7" s="249"/>
      <c r="T7" s="250"/>
      <c r="U7" s="251"/>
      <c r="V7" s="250"/>
      <c r="W7" s="251"/>
      <c r="X7" s="250"/>
      <c r="Y7" s="251"/>
      <c r="Z7" s="221"/>
      <c r="AA7" s="251"/>
      <c r="AB7" s="250"/>
      <c r="AC7" s="251"/>
      <c r="AD7" s="250"/>
      <c r="AE7" s="251"/>
    </row>
    <row r="8" spans="1:31" ht="17.25" customHeight="1">
      <c r="A8" s="252" t="s">
        <v>709</v>
      </c>
      <c r="B8" s="204" t="s">
        <v>714</v>
      </c>
      <c r="C8" s="204"/>
      <c r="D8" s="204" t="s">
        <v>715</v>
      </c>
      <c r="E8" s="253"/>
      <c r="F8" s="204" t="s">
        <v>718</v>
      </c>
      <c r="G8" s="253"/>
      <c r="H8" s="204" t="s">
        <v>699</v>
      </c>
      <c r="I8" s="253"/>
      <c r="J8" s="204" t="s">
        <v>699</v>
      </c>
      <c r="K8" s="253"/>
      <c r="L8" s="254" t="s">
        <v>480</v>
      </c>
      <c r="M8" s="255"/>
      <c r="N8" s="204" t="s">
        <v>720</v>
      </c>
      <c r="O8" s="253"/>
      <c r="P8" s="204" t="s">
        <v>483</v>
      </c>
      <c r="Q8" s="253"/>
      <c r="R8" s="204" t="s">
        <v>721</v>
      </c>
      <c r="S8" s="253"/>
      <c r="T8" s="204" t="s">
        <v>721</v>
      </c>
      <c r="U8" s="253"/>
      <c r="V8" s="204" t="s">
        <v>445</v>
      </c>
      <c r="W8" s="253"/>
      <c r="X8" s="204" t="s">
        <v>463</v>
      </c>
      <c r="Y8" s="253"/>
      <c r="Z8" s="204" t="s">
        <v>468</v>
      </c>
      <c r="AA8" s="253"/>
      <c r="AB8" s="204" t="s">
        <v>722</v>
      </c>
      <c r="AC8" s="253"/>
      <c r="AD8" s="204" t="s">
        <v>470</v>
      </c>
      <c r="AE8" s="253"/>
    </row>
    <row r="9" spans="1:31" ht="18.75" customHeight="1">
      <c r="A9" s="256"/>
      <c r="B9" s="257" t="s">
        <v>736</v>
      </c>
      <c r="C9" s="259" t="s">
        <v>737</v>
      </c>
      <c r="D9" s="257" t="s">
        <v>736</v>
      </c>
      <c r="E9" s="259" t="s">
        <v>737</v>
      </c>
      <c r="F9" s="257" t="s">
        <v>736</v>
      </c>
      <c r="G9" s="259" t="s">
        <v>737</v>
      </c>
      <c r="H9" s="257" t="s">
        <v>736</v>
      </c>
      <c r="I9" s="258" t="s">
        <v>737</v>
      </c>
      <c r="J9" s="257" t="s">
        <v>736</v>
      </c>
      <c r="K9" s="258" t="s">
        <v>737</v>
      </c>
      <c r="L9" s="257" t="s">
        <v>736</v>
      </c>
      <c r="M9" s="259" t="s">
        <v>737</v>
      </c>
      <c r="N9" s="257" t="s">
        <v>736</v>
      </c>
      <c r="O9" s="259" t="s">
        <v>737</v>
      </c>
      <c r="P9" s="257" t="s">
        <v>736</v>
      </c>
      <c r="Q9" s="259" t="s">
        <v>737</v>
      </c>
      <c r="R9" s="257" t="s">
        <v>736</v>
      </c>
      <c r="S9" s="258" t="s">
        <v>737</v>
      </c>
      <c r="T9" s="257" t="s">
        <v>736</v>
      </c>
      <c r="U9" s="259" t="s">
        <v>737</v>
      </c>
      <c r="V9" s="257" t="s">
        <v>736</v>
      </c>
      <c r="W9" s="259" t="s">
        <v>737</v>
      </c>
      <c r="X9" s="257" t="s">
        <v>736</v>
      </c>
      <c r="Y9" s="259" t="s">
        <v>737</v>
      </c>
      <c r="Z9" s="257" t="s">
        <v>736</v>
      </c>
      <c r="AA9" s="259" t="s">
        <v>737</v>
      </c>
      <c r="AB9" s="257" t="s">
        <v>736</v>
      </c>
      <c r="AC9" s="259" t="s">
        <v>737</v>
      </c>
      <c r="AD9" s="257" t="s">
        <v>736</v>
      </c>
      <c r="AE9" s="259" t="s">
        <v>737</v>
      </c>
    </row>
    <row r="10" spans="1:31">
      <c r="A10" s="90"/>
      <c r="B10" s="287"/>
      <c r="C10" s="288"/>
      <c r="D10" s="287"/>
      <c r="E10" s="288"/>
      <c r="F10" s="287"/>
      <c r="G10" s="288"/>
      <c r="H10" s="289"/>
      <c r="I10" s="289"/>
      <c r="J10" s="287"/>
      <c r="K10" s="288"/>
      <c r="L10" s="287"/>
      <c r="M10" s="288"/>
      <c r="N10" s="287"/>
      <c r="O10" s="288"/>
      <c r="P10" s="287"/>
      <c r="Q10" s="288"/>
      <c r="R10" s="289"/>
      <c r="S10" s="289"/>
      <c r="T10" s="287"/>
      <c r="U10" s="288"/>
      <c r="V10" s="287"/>
      <c r="W10" s="288"/>
      <c r="X10" s="287"/>
      <c r="Y10" s="288"/>
      <c r="Z10" s="287"/>
      <c r="AA10" s="288"/>
      <c r="AB10" s="287"/>
      <c r="AC10" s="288"/>
      <c r="AD10" s="289"/>
      <c r="AE10" s="288"/>
    </row>
    <row r="11" spans="1:31" s="6" customFormat="1" ht="27.75" customHeight="1">
      <c r="A11" s="261">
        <f>+'27'!A11</f>
        <v>2005</v>
      </c>
      <c r="B11" s="278">
        <f>+'27'!B11+'25'!B11</f>
        <v>1911</v>
      </c>
      <c r="C11" s="274">
        <f>+B11/'17'!B11*1000</f>
        <v>7.8648448431969715</v>
      </c>
      <c r="D11" s="278">
        <f>+'27'!D11+'25'!D11</f>
        <v>178</v>
      </c>
      <c r="E11" s="274">
        <f>+D11/'17'!D11*1000</f>
        <v>7.6048876356489794</v>
      </c>
      <c r="F11" s="207">
        <f t="shared" ref="F11:F18" si="0">+J11+L11+N11+P11+T11+V11+X11+Z11+AB11+AD11</f>
        <v>21</v>
      </c>
      <c r="G11" s="262">
        <f>+F11/'17'!F11*1000</f>
        <v>5.7142857142857144</v>
      </c>
      <c r="H11" s="276">
        <f t="shared" ref="H11:H18" si="1">+J11+L11+N11+P11</f>
        <v>8</v>
      </c>
      <c r="I11" s="277">
        <f>+H11/'17'!H11*1000</f>
        <v>5.2493438320209975</v>
      </c>
      <c r="J11" s="278">
        <f>+'27'!J11+'25'!J11</f>
        <v>2</v>
      </c>
      <c r="K11" s="274">
        <f>+J11/'17'!J11*1000</f>
        <v>1.9230769230769231</v>
      </c>
      <c r="L11" s="278">
        <f>+'27'!L11+'25'!L11</f>
        <v>2</v>
      </c>
      <c r="M11" s="274">
        <f>+L11/'17'!L11*1000</f>
        <v>9.2165898617511512</v>
      </c>
      <c r="N11" s="278">
        <f>+'27'!N11+'25'!N11</f>
        <v>1</v>
      </c>
      <c r="O11" s="274">
        <f>+N11/'17'!N11*1000</f>
        <v>6.7114093959731544</v>
      </c>
      <c r="P11" s="278">
        <f>+'27'!P11+'25'!P11</f>
        <v>3</v>
      </c>
      <c r="Q11" s="274">
        <f>+P11/'17'!P11*1000</f>
        <v>25.423728813559325</v>
      </c>
      <c r="R11" s="207">
        <f t="shared" ref="R11:R18" si="2">+T11+V11+X11+Z11+AB11+AD11</f>
        <v>13</v>
      </c>
      <c r="S11" s="277">
        <f>+R11/'17'!R11*1000</f>
        <v>6.0437006043700601</v>
      </c>
      <c r="T11" s="278">
        <f>+'27'!T11+'25'!T11</f>
        <v>10</v>
      </c>
      <c r="U11" s="274">
        <f>+T11/'17'!T11*1000</f>
        <v>8.6805555555555554</v>
      </c>
      <c r="V11" s="278">
        <f>+'27'!V11+'25'!V11</f>
        <v>1</v>
      </c>
      <c r="W11" s="274">
        <f>+V11/'17'!V11*1000</f>
        <v>5.6818181818181817</v>
      </c>
      <c r="X11" s="278">
        <f>+'27'!X11+'25'!X11</f>
        <v>0</v>
      </c>
      <c r="Y11" s="274">
        <f>+X11/'17'!X11*1000</f>
        <v>0</v>
      </c>
      <c r="Z11" s="278">
        <f>+'27'!Z11+'25'!Z11</f>
        <v>0</v>
      </c>
      <c r="AA11" s="274">
        <f>+Z11/'17'!Z11*1000</f>
        <v>0</v>
      </c>
      <c r="AB11" s="278">
        <f>+'27'!AB11+'25'!AB11</f>
        <v>2</v>
      </c>
      <c r="AC11" s="274">
        <f>+AB11/'17'!AB11*1000</f>
        <v>6.1162079510703364</v>
      </c>
      <c r="AD11" s="278">
        <f>+'27'!AD11+'25'!AD11</f>
        <v>0</v>
      </c>
      <c r="AE11" s="262">
        <f>+AD11/'17'!AD11*1000</f>
        <v>0</v>
      </c>
    </row>
    <row r="12" spans="1:31" s="6" customFormat="1" ht="27.75" customHeight="1">
      <c r="A12" s="261">
        <f>+'27'!A12</f>
        <v>2006</v>
      </c>
      <c r="B12" s="278">
        <f>+'27'!B12+'25'!B12</f>
        <v>1839</v>
      </c>
      <c r="C12" s="274">
        <f>+B12/'17'!B12*1000</f>
        <v>7.5504699028169542</v>
      </c>
      <c r="D12" s="278">
        <f>+'27'!D12+'25'!D12</f>
        <v>173</v>
      </c>
      <c r="E12" s="274">
        <f>+D12/'17'!D12*1000</f>
        <v>7.5833954324288779</v>
      </c>
      <c r="F12" s="207">
        <f t="shared" si="0"/>
        <v>31</v>
      </c>
      <c r="G12" s="262">
        <f>+F12/'17'!F12*1000</f>
        <v>8.7620124364047491</v>
      </c>
      <c r="H12" s="276">
        <f t="shared" si="1"/>
        <v>11</v>
      </c>
      <c r="I12" s="277">
        <f>+H12/'17'!H12*1000</f>
        <v>7.7958894401133945</v>
      </c>
      <c r="J12" s="278">
        <f>+'27'!J12+'25'!J12</f>
        <v>8</v>
      </c>
      <c r="K12" s="274">
        <f>+J12/'17'!J12*1000</f>
        <v>8.5929108485499466</v>
      </c>
      <c r="L12" s="278">
        <f>+'27'!L12+'25'!L12</f>
        <v>1</v>
      </c>
      <c r="M12" s="274">
        <f>+L12/'17'!L12*1000</f>
        <v>4.4247787610619467</v>
      </c>
      <c r="N12" s="278">
        <f>+'27'!N12+'25'!N12</f>
        <v>1</v>
      </c>
      <c r="O12" s="274">
        <f>+N12/'17'!N12*1000</f>
        <v>6.6225165562913908</v>
      </c>
      <c r="P12" s="278">
        <f>+'27'!P12+'25'!P12</f>
        <v>1</v>
      </c>
      <c r="Q12" s="274">
        <f>+P12/'17'!P12*1000</f>
        <v>9.7087378640776691</v>
      </c>
      <c r="R12" s="207">
        <f t="shared" si="2"/>
        <v>20</v>
      </c>
      <c r="S12" s="277">
        <f>+R12/'17'!R12*1000</f>
        <v>9.4029149036201218</v>
      </c>
      <c r="T12" s="278">
        <f>+'27'!T12+'25'!T12</f>
        <v>7</v>
      </c>
      <c r="U12" s="274">
        <f>+T12/'17'!T12*1000</f>
        <v>6.238859180035651</v>
      </c>
      <c r="V12" s="278">
        <f>+'27'!V12+'25'!V12</f>
        <v>4</v>
      </c>
      <c r="W12" s="274">
        <f>+V12/'17'!V12*1000</f>
        <v>21.164021164021165</v>
      </c>
      <c r="X12" s="278">
        <f>+'27'!X12+'25'!X12</f>
        <v>0</v>
      </c>
      <c r="Y12" s="274">
        <f>+X12/'17'!X12*1000</f>
        <v>0</v>
      </c>
      <c r="Z12" s="278">
        <f>+'27'!Z12+'25'!Z12</f>
        <v>1</v>
      </c>
      <c r="AA12" s="274">
        <f>+Z12/'17'!Z12*1000</f>
        <v>8.8495575221238933</v>
      </c>
      <c r="AB12" s="278">
        <f>+'27'!AB12+'25'!AB12</f>
        <v>6</v>
      </c>
      <c r="AC12" s="274">
        <f>+AB12/'17'!AB12*1000</f>
        <v>17.857142857142858</v>
      </c>
      <c r="AD12" s="278">
        <f>+'27'!AD12+'25'!AD12</f>
        <v>2</v>
      </c>
      <c r="AE12" s="262">
        <f>+AD12/'17'!AD12*1000</f>
        <v>10.309278350515465</v>
      </c>
    </row>
    <row r="13" spans="1:31" s="6" customFormat="1" ht="27.75" customHeight="1">
      <c r="A13" s="261">
        <f>+'27'!A13</f>
        <v>2007</v>
      </c>
      <c r="B13" s="278">
        <f>+'27'!B13+'25'!B13</f>
        <v>2009</v>
      </c>
      <c r="C13" s="274">
        <f>+B13/'17'!B13*1000</f>
        <v>8.2998008708800519</v>
      </c>
      <c r="D13" s="278">
        <f>+'27'!D13+'25'!D13</f>
        <v>201</v>
      </c>
      <c r="E13" s="274">
        <f>+D13/'17'!D13*1000</f>
        <v>8.8111520252498696</v>
      </c>
      <c r="F13" s="207">
        <f t="shared" si="0"/>
        <v>33</v>
      </c>
      <c r="G13" s="262">
        <f>+F13/'17'!F13*1000</f>
        <v>9.1412742382271475</v>
      </c>
      <c r="H13" s="276">
        <f t="shared" si="1"/>
        <v>8</v>
      </c>
      <c r="I13" s="277">
        <f>+H13/'17'!H13*1000</f>
        <v>5.547850208044383</v>
      </c>
      <c r="J13" s="278">
        <f>+'27'!J13+'25'!J13</f>
        <v>5</v>
      </c>
      <c r="K13" s="274">
        <f>+J13/'17'!J13*1000</f>
        <v>5.0916496945010188</v>
      </c>
      <c r="L13" s="278">
        <f>+'27'!L13+'25'!L13</f>
        <v>2</v>
      </c>
      <c r="M13" s="274">
        <f>+L13/'17'!L13*1000</f>
        <v>9.5238095238095255</v>
      </c>
      <c r="N13" s="278">
        <f>+'27'!N13+'25'!N13</f>
        <v>1</v>
      </c>
      <c r="O13" s="274">
        <f>+N13/'17'!N13*1000</f>
        <v>6.666666666666667</v>
      </c>
      <c r="P13" s="278">
        <f>+'27'!P13+'25'!P13</f>
        <v>0</v>
      </c>
      <c r="Q13" s="274">
        <f>+P13/'17'!P13*1000</f>
        <v>0</v>
      </c>
      <c r="R13" s="207">
        <f t="shared" si="2"/>
        <v>25</v>
      </c>
      <c r="S13" s="277">
        <f>+R13/'17'!R13*1000</f>
        <v>11.531365313653136</v>
      </c>
      <c r="T13" s="278">
        <f>+'27'!T13+'25'!T13</f>
        <v>15</v>
      </c>
      <c r="U13" s="274">
        <f>+T13/'17'!T13*1000</f>
        <v>12.417218543046356</v>
      </c>
      <c r="V13" s="278">
        <f>+'27'!V13+'25'!V13</f>
        <v>3</v>
      </c>
      <c r="W13" s="274">
        <f>+V13/'17'!V13*1000</f>
        <v>15.789473684210527</v>
      </c>
      <c r="X13" s="278">
        <f>+'27'!X13+'25'!X13</f>
        <v>1</v>
      </c>
      <c r="Y13" s="274">
        <f>+X13/'17'!X13*1000</f>
        <v>4.9751243781094523</v>
      </c>
      <c r="Z13" s="278">
        <f>+'27'!Z13+'25'!Z13</f>
        <v>0</v>
      </c>
      <c r="AA13" s="274">
        <f>+Z13/'17'!Z13*1000</f>
        <v>0</v>
      </c>
      <c r="AB13" s="278">
        <f>+'27'!AB13+'25'!AB13</f>
        <v>4</v>
      </c>
      <c r="AC13" s="274">
        <f>+AB13/'17'!AB13*1000</f>
        <v>13.029315960912053</v>
      </c>
      <c r="AD13" s="278">
        <f>+'27'!AD13+'25'!AD13</f>
        <v>2</v>
      </c>
      <c r="AE13" s="262">
        <f>+AD13/'17'!AD13*1000</f>
        <v>11.494252873563218</v>
      </c>
    </row>
    <row r="14" spans="1:31" s="6" customFormat="1" ht="27.75" customHeight="1">
      <c r="A14" s="261">
        <f>+'27'!A14</f>
        <v>2008</v>
      </c>
      <c r="B14" s="278">
        <f>+'27'!B14+'25'!B14</f>
        <v>1948</v>
      </c>
      <c r="C14" s="274">
        <f>+B14/'17'!B14*1000</f>
        <v>7.843263570698082</v>
      </c>
      <c r="D14" s="278">
        <f>+'27'!D14+'25'!D14</f>
        <v>169</v>
      </c>
      <c r="E14" s="274">
        <f>+D14/'17'!D14*1000</f>
        <v>7.2835409214325733</v>
      </c>
      <c r="F14" s="207">
        <f t="shared" si="0"/>
        <v>22</v>
      </c>
      <c r="G14" s="262">
        <f>+F14/'17'!F14*1000</f>
        <v>5.9994545950368146</v>
      </c>
      <c r="H14" s="276">
        <f t="shared" si="1"/>
        <v>14</v>
      </c>
      <c r="I14" s="277">
        <f>+H14/'17'!H14*1000</f>
        <v>9.5044127630685669</v>
      </c>
      <c r="J14" s="278">
        <f>+'27'!J14+'25'!J14</f>
        <v>9</v>
      </c>
      <c r="K14" s="274">
        <f>+J14/'17'!J14*1000</f>
        <v>9.3264248704663206</v>
      </c>
      <c r="L14" s="278">
        <f>+'27'!L14+'25'!L14</f>
        <v>2</v>
      </c>
      <c r="M14" s="274">
        <f>+L14/'17'!L14*1000</f>
        <v>8.1967213114754109</v>
      </c>
      <c r="N14" s="278">
        <f>+'27'!N14+'25'!N14</f>
        <v>3</v>
      </c>
      <c r="O14" s="274">
        <f>+N14/'17'!N14*1000</f>
        <v>19.736842105263158</v>
      </c>
      <c r="P14" s="278">
        <f>+'27'!P14+'25'!P14</f>
        <v>0</v>
      </c>
      <c r="Q14" s="274">
        <f>+P14/'17'!P14*1000</f>
        <v>0</v>
      </c>
      <c r="R14" s="207">
        <f t="shared" si="2"/>
        <v>8</v>
      </c>
      <c r="S14" s="277">
        <f>+R14/'17'!R14*1000</f>
        <v>3.6463081130355515</v>
      </c>
      <c r="T14" s="278">
        <f>+'27'!T14+'25'!T14</f>
        <v>5</v>
      </c>
      <c r="U14" s="274">
        <f>+T14/'17'!T14*1000</f>
        <v>4.1946308724832218</v>
      </c>
      <c r="V14" s="278">
        <f>+'27'!V14+'25'!V14</f>
        <v>0</v>
      </c>
      <c r="W14" s="274">
        <f>+V14/'17'!V14*1000</f>
        <v>0</v>
      </c>
      <c r="X14" s="278">
        <f>+'27'!X14+'25'!X14</f>
        <v>0</v>
      </c>
      <c r="Y14" s="274">
        <f>+X14/'17'!X14*1000</f>
        <v>0</v>
      </c>
      <c r="Z14" s="278">
        <f>+'27'!Z14+'25'!Z14</f>
        <v>1</v>
      </c>
      <c r="AA14" s="274">
        <f>+Z14/'17'!Z14*1000</f>
        <v>7.9365079365079358</v>
      </c>
      <c r="AB14" s="278">
        <f>+'27'!AB14+'25'!AB14</f>
        <v>0</v>
      </c>
      <c r="AC14" s="274">
        <f>+AB14/'17'!AB14*1000</f>
        <v>0</v>
      </c>
      <c r="AD14" s="278">
        <f>+'27'!AD14+'25'!AD14</f>
        <v>2</v>
      </c>
      <c r="AE14" s="262">
        <f>+AD14/'17'!AD14*1000</f>
        <v>10.256410256410257</v>
      </c>
    </row>
    <row r="15" spans="1:31" s="6" customFormat="1" ht="27.75" customHeight="1">
      <c r="A15" s="261">
        <f>+'27'!A15</f>
        <v>2009</v>
      </c>
      <c r="B15" s="278">
        <f>+'27'!B15+'25'!B15</f>
        <v>1997</v>
      </c>
      <c r="C15" s="274">
        <f>+B15/'17'!B15*1000</f>
        <v>7.917063114494133</v>
      </c>
      <c r="D15" s="278">
        <f>+'27'!D15+'25'!D15</f>
        <v>200</v>
      </c>
      <c r="E15" s="274">
        <f>+D15/'17'!D15*1000</f>
        <v>8.4263745523488502</v>
      </c>
      <c r="F15" s="207">
        <f t="shared" si="0"/>
        <v>32</v>
      </c>
      <c r="G15" s="262">
        <f>+F15/'17'!F15*1000</f>
        <v>8.6439762290653697</v>
      </c>
      <c r="H15" s="276">
        <f t="shared" si="1"/>
        <v>12</v>
      </c>
      <c r="I15" s="277">
        <f>+H15/'17'!H15*1000</f>
        <v>7.8226857887874841</v>
      </c>
      <c r="J15" s="278">
        <f>+'27'!J15+'25'!J15</f>
        <v>7</v>
      </c>
      <c r="K15" s="274">
        <f>+J15/'17'!J15*1000</f>
        <v>7.1065989847715736</v>
      </c>
      <c r="L15" s="278">
        <f>+'27'!L15+'25'!L15</f>
        <v>0</v>
      </c>
      <c r="M15" s="274">
        <f>+L15/'17'!L15*1000</f>
        <v>0</v>
      </c>
      <c r="N15" s="278">
        <f>+'27'!N15+'25'!N15</f>
        <v>3</v>
      </c>
      <c r="O15" s="274">
        <f>+N15/'17'!N15*1000</f>
        <v>19.230769230769234</v>
      </c>
      <c r="P15" s="278">
        <f>+'27'!P15+'25'!P15</f>
        <v>2</v>
      </c>
      <c r="Q15" s="274">
        <f>+P15/'17'!P15*1000</f>
        <v>15.037593984962406</v>
      </c>
      <c r="R15" s="207">
        <f t="shared" si="2"/>
        <v>20</v>
      </c>
      <c r="S15" s="277">
        <f>+R15/'17'!R15*1000</f>
        <v>9.2250922509225095</v>
      </c>
      <c r="T15" s="278">
        <f>+'27'!T15+'25'!T15</f>
        <v>11</v>
      </c>
      <c r="U15" s="274">
        <f>+T15/'17'!T15*1000</f>
        <v>9.4097519247219843</v>
      </c>
      <c r="V15" s="278">
        <f>+'27'!V15+'25'!V15</f>
        <v>2</v>
      </c>
      <c r="W15" s="274">
        <f>+V15/'17'!V15*1000</f>
        <v>9.8522167487684733</v>
      </c>
      <c r="X15" s="278">
        <f>+'27'!X15+'25'!X15</f>
        <v>1</v>
      </c>
      <c r="Y15" s="274">
        <f>+X15/'17'!X15*1000</f>
        <v>5.8823529411764701</v>
      </c>
      <c r="Z15" s="278">
        <f>+'27'!Z15+'25'!Z15</f>
        <v>3</v>
      </c>
      <c r="AA15" s="274">
        <f>+Z15/'17'!Z15*1000</f>
        <v>29.702970297029701</v>
      </c>
      <c r="AB15" s="278">
        <f>+'27'!AB15+'25'!AB15</f>
        <v>0</v>
      </c>
      <c r="AC15" s="274">
        <f>+AB15/'17'!AB15*1000</f>
        <v>0</v>
      </c>
      <c r="AD15" s="278">
        <f>+'27'!AD15+'25'!AD15</f>
        <v>3</v>
      </c>
      <c r="AE15" s="262">
        <f>+AD15/'17'!AD15*1000</f>
        <v>16.574585635359114</v>
      </c>
    </row>
    <row r="16" spans="1:31" s="6" customFormat="1" ht="27.75" customHeight="1">
      <c r="A16" s="261">
        <f>+'27'!A16</f>
        <v>2010</v>
      </c>
      <c r="B16" s="278">
        <f>+'27'!B16+'25'!B16</f>
        <v>1862</v>
      </c>
      <c r="C16" s="274">
        <f>+B16/'17'!B16*1000</f>
        <v>7.4124498903259965</v>
      </c>
      <c r="D16" s="278">
        <f>+'27'!D16+'25'!D16</f>
        <v>176</v>
      </c>
      <c r="E16" s="274">
        <f>+D16/'17'!D16*1000</f>
        <v>7.3887489504617969</v>
      </c>
      <c r="F16" s="207">
        <f t="shared" si="0"/>
        <v>37</v>
      </c>
      <c r="G16" s="262">
        <f>+F16/'17'!F16*1000</f>
        <v>9.4243504839531322</v>
      </c>
      <c r="H16" s="276">
        <f t="shared" si="1"/>
        <v>14</v>
      </c>
      <c r="I16" s="277">
        <f>+H16/'17'!H16*1000</f>
        <v>8.4286574352799519</v>
      </c>
      <c r="J16" s="278">
        <f>+'27'!J16+'25'!J16</f>
        <v>7</v>
      </c>
      <c r="K16" s="274">
        <f>+J16/'17'!J16*1000</f>
        <v>6.5851364063969902</v>
      </c>
      <c r="L16" s="278">
        <f>+'27'!L16+'25'!L16</f>
        <v>3</v>
      </c>
      <c r="M16" s="274">
        <f>+L16/'17'!L16*1000</f>
        <v>12.048192771084338</v>
      </c>
      <c r="N16" s="278">
        <f>+'27'!N16+'25'!N16</f>
        <v>3</v>
      </c>
      <c r="O16" s="274">
        <f>+N16/'17'!N16*1000</f>
        <v>16.129032258064516</v>
      </c>
      <c r="P16" s="278">
        <f>+'27'!P16+'25'!P16</f>
        <v>1</v>
      </c>
      <c r="Q16" s="274">
        <f>+P16/'17'!P16*1000</f>
        <v>6.1349693251533743</v>
      </c>
      <c r="R16" s="207">
        <f t="shared" si="2"/>
        <v>23</v>
      </c>
      <c r="S16" s="277">
        <f>+R16/'17'!R16*1000</f>
        <v>10.154525386313466</v>
      </c>
      <c r="T16" s="278">
        <f>+'27'!T16+'25'!T16</f>
        <v>11</v>
      </c>
      <c r="U16" s="274">
        <f>+T16/'17'!T16*1000</f>
        <v>9.0386195562859495</v>
      </c>
      <c r="V16" s="278">
        <f>+'27'!V16+'25'!V16</f>
        <v>1</v>
      </c>
      <c r="W16" s="274">
        <f>+V16/'17'!V16*1000</f>
        <v>5.2631578947368416</v>
      </c>
      <c r="X16" s="278">
        <f>+'27'!X16+'25'!X16</f>
        <v>4</v>
      </c>
      <c r="Y16" s="274">
        <f>+X16/'17'!X16*1000</f>
        <v>20.725388601036268</v>
      </c>
      <c r="Z16" s="278">
        <f>+'27'!Z16+'25'!Z16</f>
        <v>1</v>
      </c>
      <c r="AA16" s="274">
        <f>+Z16/'17'!Z16*1000</f>
        <v>9.5238095238095255</v>
      </c>
      <c r="AB16" s="278">
        <f>+'27'!AB16+'25'!AB16</f>
        <v>4</v>
      </c>
      <c r="AC16" s="274">
        <f>+AB16/'17'!AB16*1000</f>
        <v>12.121212121212121</v>
      </c>
      <c r="AD16" s="278">
        <f>+'27'!AD16+'25'!AD16</f>
        <v>2</v>
      </c>
      <c r="AE16" s="262">
        <f>+AD16/'17'!AD16*1000</f>
        <v>8.695652173913043</v>
      </c>
    </row>
    <row r="17" spans="1:31" s="6" customFormat="1" ht="27.75" customHeight="1">
      <c r="A17" s="261">
        <f>+'27'!A17</f>
        <v>2011</v>
      </c>
      <c r="B17" s="278">
        <f>+'27'!B17+'25'!B17</f>
        <v>1908</v>
      </c>
      <c r="C17" s="274">
        <f>+B17/'17'!B17*1000</f>
        <v>7.6663760301190536</v>
      </c>
      <c r="D17" s="278">
        <f>+'27'!D17+'25'!D17</f>
        <v>169</v>
      </c>
      <c r="E17" s="275">
        <f>+D17/'17'!D17*1000</f>
        <v>7.1326074111589426</v>
      </c>
      <c r="F17" s="207">
        <f t="shared" si="0"/>
        <v>29</v>
      </c>
      <c r="G17" s="262">
        <f>+F17/'17'!F17*1000</f>
        <v>7.8420767982693338</v>
      </c>
      <c r="H17" s="276">
        <f t="shared" si="1"/>
        <v>11</v>
      </c>
      <c r="I17" s="277">
        <f>+H17/'17'!H17*1000</f>
        <v>7.2799470549305099</v>
      </c>
      <c r="J17" s="278">
        <f>+'27'!J17+'25'!J17</f>
        <v>7</v>
      </c>
      <c r="K17" s="274">
        <f>+J17/'17'!J17*1000</f>
        <v>7.2239422084623319</v>
      </c>
      <c r="L17" s="278">
        <f>+'27'!L17+'25'!L17</f>
        <v>3</v>
      </c>
      <c r="M17" s="274">
        <f>+L17/'17'!L17*1000</f>
        <v>12.931034482758621</v>
      </c>
      <c r="N17" s="278">
        <f>+'27'!N17+'25'!N17</f>
        <v>0</v>
      </c>
      <c r="O17" s="274">
        <f>+N17/'17'!N17*1000</f>
        <v>0</v>
      </c>
      <c r="P17" s="278">
        <f>+'27'!P17+'25'!P17</f>
        <v>1</v>
      </c>
      <c r="Q17" s="274">
        <f>+P17/'17'!P17*1000</f>
        <v>6.9930069930069934</v>
      </c>
      <c r="R17" s="207">
        <f t="shared" si="2"/>
        <v>18</v>
      </c>
      <c r="S17" s="277">
        <f>+R17/'17'!R17*1000</f>
        <v>8.2304526748971192</v>
      </c>
      <c r="T17" s="278">
        <f>+'27'!T17+'25'!T17</f>
        <v>8</v>
      </c>
      <c r="U17" s="274">
        <f>+T17/'17'!T17*1000</f>
        <v>7.1428571428571423</v>
      </c>
      <c r="V17" s="278">
        <f>+'27'!V17+'25'!V17</f>
        <v>2</v>
      </c>
      <c r="W17" s="274">
        <f>+V17/'17'!V17*1000</f>
        <v>9.3896713615023479</v>
      </c>
      <c r="X17" s="278">
        <f>+'27'!X17+'25'!X17</f>
        <v>2</v>
      </c>
      <c r="Y17" s="274">
        <f>+X17/'17'!X17*1000</f>
        <v>7.9365079365079358</v>
      </c>
      <c r="Z17" s="278">
        <f>+'27'!Z17+'25'!Z17</f>
        <v>0</v>
      </c>
      <c r="AA17" s="274">
        <f>+Z17/'17'!Z17*1000</f>
        <v>0</v>
      </c>
      <c r="AB17" s="278">
        <f>+'27'!AB17+'25'!AB17</f>
        <v>6</v>
      </c>
      <c r="AC17" s="274">
        <f>+AB17/'17'!AB16*1000</f>
        <v>18.18181818181818</v>
      </c>
      <c r="AD17" s="278">
        <f>+'27'!AD17+'25'!AD17</f>
        <v>0</v>
      </c>
      <c r="AE17" s="262">
        <f>+AD17/'17'!AD16*1000</f>
        <v>0</v>
      </c>
    </row>
    <row r="18" spans="1:31" s="6" customFormat="1" ht="27.75" customHeight="1">
      <c r="A18" s="261">
        <f>+'27'!A18</f>
        <v>2012</v>
      </c>
      <c r="B18" s="207"/>
      <c r="C18" s="274"/>
      <c r="D18" s="278"/>
      <c r="E18" s="275"/>
      <c r="F18" s="207">
        <f t="shared" si="0"/>
        <v>33</v>
      </c>
      <c r="G18" s="262">
        <f>+F18/'17'!F18*1000</f>
        <v>9.0909090909090899</v>
      </c>
      <c r="H18" s="276">
        <f t="shared" si="1"/>
        <v>17</v>
      </c>
      <c r="I18" s="277">
        <f>+H18/'17'!H18*1000</f>
        <v>11.748445058742226</v>
      </c>
      <c r="J18" s="278">
        <f>+'27'!J18+'25'!J18</f>
        <v>14</v>
      </c>
      <c r="K18" s="274">
        <f>+J18/'17'!J18*1000</f>
        <v>14.909478168264112</v>
      </c>
      <c r="L18" s="278">
        <f>+'27'!L18+'25'!L18</f>
        <v>0</v>
      </c>
      <c r="M18" s="274">
        <f>+L18/'17'!L18*1000</f>
        <v>0</v>
      </c>
      <c r="N18" s="278">
        <f>+'27'!N18+'25'!N18</f>
        <v>3</v>
      </c>
      <c r="O18" s="274">
        <f>+N18/'17'!N18*1000</f>
        <v>19.480519480519479</v>
      </c>
      <c r="P18" s="278">
        <f>+'27'!P18+'25'!P18</f>
        <v>0</v>
      </c>
      <c r="Q18" s="274">
        <f>+P18/'17'!P18*1000</f>
        <v>0</v>
      </c>
      <c r="R18" s="207">
        <f t="shared" si="2"/>
        <v>16</v>
      </c>
      <c r="S18" s="277">
        <f>+R18/'17'!R18*1000</f>
        <v>7.3293632615666517</v>
      </c>
      <c r="T18" s="278">
        <f>+'27'!T18+'25'!T18</f>
        <v>12</v>
      </c>
      <c r="U18" s="274">
        <f>+T18/'17'!T18*1000</f>
        <v>10.452961672473869</v>
      </c>
      <c r="V18" s="278">
        <f>+'27'!V18+'25'!V18</f>
        <v>1</v>
      </c>
      <c r="W18" s="274">
        <f>+V18/'17'!V18*1000</f>
        <v>5.025125628140704</v>
      </c>
      <c r="X18" s="278">
        <f>+'27'!X18+'25'!X18</f>
        <v>2</v>
      </c>
      <c r="Y18" s="274">
        <f>+X18/'17'!X18*1000</f>
        <v>10.989010989010989</v>
      </c>
      <c r="Z18" s="278">
        <f>+'27'!Z18+'25'!Z18</f>
        <v>0</v>
      </c>
      <c r="AA18" s="274">
        <f>+Z18/'17'!Z18*1000</f>
        <v>0</v>
      </c>
      <c r="AB18" s="278">
        <f>+'27'!AB18+'25'!AB18</f>
        <v>1</v>
      </c>
      <c r="AC18" s="274">
        <f>+AB18/'17'!AB18*1000</f>
        <v>2.7027027027027026</v>
      </c>
      <c r="AD18" s="278">
        <f>+'27'!AD18+'25'!AD18</f>
        <v>0</v>
      </c>
      <c r="AE18" s="262">
        <f>+AD18/'17'!AD18*1000</f>
        <v>0</v>
      </c>
    </row>
    <row r="19" spans="1:31" s="6" customFormat="1" ht="27.75" customHeight="1">
      <c r="A19" s="261">
        <f>+'27'!A19</f>
        <v>2013</v>
      </c>
      <c r="B19" s="207"/>
      <c r="C19" s="275"/>
      <c r="D19" s="207"/>
      <c r="E19" s="275"/>
      <c r="F19" s="207">
        <f>+J19+L19+N19+P19+T19+V19+X19+Z19+AB19+AD19</f>
        <v>22</v>
      </c>
      <c r="G19" s="262">
        <f>+F19/'17'!F19*1000</f>
        <v>6.2358276643990935</v>
      </c>
      <c r="H19" s="276">
        <f>+J19+L19+N19+P19</f>
        <v>8</v>
      </c>
      <c r="I19" s="277">
        <f>+H19/'17'!H19*1000</f>
        <v>5.4869684499314122</v>
      </c>
      <c r="J19" s="278">
        <f>+'27'!J19+'25'!J19</f>
        <v>5</v>
      </c>
      <c r="K19" s="274">
        <f>+J19/'17'!J19*1000</f>
        <v>5.4884742041712409</v>
      </c>
      <c r="L19" s="278">
        <f>+'27'!L19+'25'!L19</f>
        <v>2</v>
      </c>
      <c r="M19" s="274">
        <f>+L19/'17'!L19*1000</f>
        <v>7.9681274900398407</v>
      </c>
      <c r="N19" s="278">
        <f>+'27'!N19+'25'!N19</f>
        <v>0</v>
      </c>
      <c r="O19" s="274">
        <f>+N19/'17'!N19*1000</f>
        <v>0</v>
      </c>
      <c r="P19" s="278">
        <f>+'27'!P19+'25'!P19</f>
        <v>1</v>
      </c>
      <c r="Q19" s="274">
        <f>+P19/'17'!P19*1000</f>
        <v>6.9444444444444438</v>
      </c>
      <c r="R19" s="207">
        <f>+T19+V19+X19+Z19+AB19+AD19</f>
        <v>14</v>
      </c>
      <c r="S19" s="277">
        <f>+R19/'17'!R19*1000</f>
        <v>6.7632850241545901</v>
      </c>
      <c r="T19" s="278">
        <f>+'27'!T19+'25'!T19</f>
        <v>10</v>
      </c>
      <c r="U19" s="274">
        <f>+T19/'17'!T19*1000</f>
        <v>9.8425196850393704</v>
      </c>
      <c r="V19" s="278">
        <f>+'27'!V19+'25'!V19</f>
        <v>2</v>
      </c>
      <c r="W19" s="274">
        <f>+V19/'17'!V19*1000</f>
        <v>9.5693779904306222</v>
      </c>
      <c r="X19" s="278">
        <f>+'27'!X19+'25'!X19</f>
        <v>0</v>
      </c>
      <c r="Y19" s="274">
        <f>+X19/'17'!X19*1000</f>
        <v>0</v>
      </c>
      <c r="Z19" s="278">
        <f>+'27'!Z19+'25'!Z19</f>
        <v>1</v>
      </c>
      <c r="AA19" s="274">
        <f>+Z19/'17'!Z19*1000</f>
        <v>11.235955056179774</v>
      </c>
      <c r="AB19" s="278">
        <f>+'27'!AB19+'25'!AB19</f>
        <v>1</v>
      </c>
      <c r="AC19" s="274">
        <f>+AB19/'17'!AB19*1000</f>
        <v>2.7777777777777777</v>
      </c>
      <c r="AD19" s="278">
        <f>+'27'!AD19+'25'!AD19</f>
        <v>0</v>
      </c>
      <c r="AE19" s="262">
        <f>+AD19/'17'!AD19*1000</f>
        <v>0</v>
      </c>
    </row>
    <row r="20" spans="1:31" s="6" customFormat="1" ht="27.75" customHeight="1">
      <c r="A20" s="261">
        <f>+'27'!A20</f>
        <v>2014</v>
      </c>
      <c r="B20" s="207"/>
      <c r="C20" s="275"/>
      <c r="D20" s="207"/>
      <c r="E20" s="275"/>
      <c r="F20" s="207">
        <f>+J20+L20+N20+P20+T20+V20+X20+Z20+AB20+AD20</f>
        <v>28</v>
      </c>
      <c r="G20" s="262">
        <f>+F20/'17'!F20*1000</f>
        <v>7.4606981081801225</v>
      </c>
      <c r="H20" s="276">
        <f>+J20+L20+N20+P20</f>
        <v>8</v>
      </c>
      <c r="I20" s="277">
        <f>+H20/'17'!H20*1000</f>
        <v>5.1249199231262006</v>
      </c>
      <c r="J20" s="278">
        <f>+'27'!J20+'25'!J20</f>
        <v>4</v>
      </c>
      <c r="K20" s="274">
        <f>+J20/'17'!J20*1000</f>
        <v>3.90625</v>
      </c>
      <c r="L20" s="278">
        <f>+'27'!L20+'25'!L20</f>
        <v>2</v>
      </c>
      <c r="M20" s="274">
        <f>+L20/'17'!L20*1000</f>
        <v>7.8740157480314963</v>
      </c>
      <c r="N20" s="278">
        <f>+'27'!N20+'25'!N20</f>
        <v>0</v>
      </c>
      <c r="O20" s="274">
        <f>+N20/'17'!N20*1000</f>
        <v>0</v>
      </c>
      <c r="P20" s="278">
        <f>+'27'!P20+'25'!P20</f>
        <v>2</v>
      </c>
      <c r="Q20" s="274">
        <f>+P20/'17'!P20*1000</f>
        <v>15.151515151515152</v>
      </c>
      <c r="R20" s="207">
        <f>+T20+V20+X20+Z20+AB20+AD20</f>
        <v>20</v>
      </c>
      <c r="S20" s="277">
        <f>+R20/'17'!R20*1000</f>
        <v>9.1240875912408743</v>
      </c>
      <c r="T20" s="278">
        <f>+'27'!T20+'25'!T20</f>
        <v>13</v>
      </c>
      <c r="U20" s="274">
        <f>+T20/'17'!T20*1000</f>
        <v>11.807447774750226</v>
      </c>
      <c r="V20" s="278">
        <f>+'27'!V20+'25'!V20</f>
        <v>2</v>
      </c>
      <c r="W20" s="274">
        <f>+V20/'17'!V20*1000</f>
        <v>10.309278350515465</v>
      </c>
      <c r="X20" s="278">
        <f>+'27'!X20+'25'!X20</f>
        <v>0</v>
      </c>
      <c r="Y20" s="274">
        <f>+X20/'17'!X20*1000</f>
        <v>0</v>
      </c>
      <c r="Z20" s="278">
        <f>+'27'!Z20+'25'!Z20</f>
        <v>2</v>
      </c>
      <c r="AA20" s="274">
        <f>+Z20/'17'!Z20*1000</f>
        <v>17.391304347826086</v>
      </c>
      <c r="AB20" s="278">
        <f>+'27'!AB20+'25'!AB20</f>
        <v>2</v>
      </c>
      <c r="AC20" s="274">
        <f>+AB20/'17'!AB20*1000</f>
        <v>5.1020408163265305</v>
      </c>
      <c r="AD20" s="278">
        <f>+'27'!AD20+'25'!AD20</f>
        <v>1</v>
      </c>
      <c r="AE20" s="262">
        <f>+AD20/'17'!AD20*1000</f>
        <v>5.0761421319796947</v>
      </c>
    </row>
    <row r="21" spans="1:31">
      <c r="A21" s="268"/>
      <c r="B21" s="210"/>
      <c r="C21" s="269"/>
      <c r="D21" s="210"/>
      <c r="E21" s="269"/>
      <c r="F21" s="216"/>
      <c r="G21" s="1090"/>
      <c r="H21" s="270"/>
      <c r="I21" s="270"/>
      <c r="J21" s="210"/>
      <c r="K21" s="269"/>
      <c r="L21" s="210"/>
      <c r="M21" s="269"/>
      <c r="N21" s="210"/>
      <c r="O21" s="269"/>
      <c r="P21" s="210"/>
      <c r="Q21" s="269"/>
      <c r="R21" s="270"/>
      <c r="S21" s="270"/>
      <c r="T21" s="210"/>
      <c r="U21" s="269"/>
      <c r="V21" s="210"/>
      <c r="W21" s="269"/>
      <c r="X21" s="210"/>
      <c r="Y21" s="269"/>
      <c r="Z21" s="210"/>
      <c r="AA21" s="269"/>
      <c r="AB21" s="210"/>
      <c r="AC21" s="269"/>
      <c r="AD21" s="270"/>
      <c r="AE21" s="269"/>
    </row>
    <row r="22" spans="1:31">
      <c r="A22" s="1"/>
      <c r="B22" s="221"/>
      <c r="C22" s="217"/>
      <c r="D22" s="217"/>
      <c r="E22" s="217"/>
      <c r="F22" s="217"/>
      <c r="G22" s="217"/>
      <c r="H22" s="217"/>
      <c r="I22" s="217"/>
      <c r="J22" s="217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</row>
    <row r="23" spans="1:31">
      <c r="A23" s="1"/>
      <c r="B23" s="221" t="str">
        <f>+'23'!B23</f>
        <v>AÑO   2014  :   DATOS POR OCURRENCIA   (Provisorios)</v>
      </c>
      <c r="C23" s="221"/>
      <c r="D23" s="221"/>
      <c r="E23" s="221"/>
      <c r="F23" s="221"/>
      <c r="G23" s="221"/>
      <c r="H23" s="221"/>
      <c r="I23" s="221"/>
      <c r="J23" s="22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</row>
    <row r="24" spans="1:31">
      <c r="A24" s="1"/>
      <c r="B24" s="217"/>
      <c r="C24" s="221" t="s">
        <v>749</v>
      </c>
      <c r="D24" s="221"/>
      <c r="E24" s="217"/>
      <c r="F24" s="217"/>
      <c r="G24" s="217"/>
      <c r="H24" s="217"/>
      <c r="I24" s="217"/>
      <c r="J24" s="217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</row>
    <row r="25" spans="1:31">
      <c r="A25" s="1"/>
      <c r="B25" s="217"/>
      <c r="C25" s="217"/>
      <c r="D25" s="217"/>
      <c r="E25" s="217"/>
      <c r="F25" s="217"/>
      <c r="G25" s="217"/>
      <c r="H25" s="217"/>
      <c r="I25" s="217"/>
      <c r="J25" s="217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</row>
    <row r="26" spans="1:31">
      <c r="B26" s="221"/>
      <c r="C26" s="221"/>
      <c r="D26" s="221"/>
      <c r="E26" s="221"/>
      <c r="F26" s="221"/>
      <c r="G26" s="221"/>
      <c r="H26" s="221"/>
      <c r="I26" s="221"/>
      <c r="J26" s="221"/>
    </row>
  </sheetData>
  <phoneticPr fontId="19" type="noConversion"/>
  <pageMargins left="0.78740157480314965" right="0.59055118110236227" top="1.7716535433070868" bottom="0.59055118110236227" header="0.51181102362204722" footer="0.51181102362204722"/>
  <pageSetup paperSize="5" scale="90" orientation="landscape" horizontalDpi="300" verticalDpi="300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25"/>
  <sheetViews>
    <sheetView topLeftCell="A17" workbookViewId="0">
      <selection activeCell="F17" sqref="F17"/>
    </sheetView>
  </sheetViews>
  <sheetFormatPr baseColWidth="10" defaultRowHeight="12.75"/>
  <cols>
    <col min="1" max="3" width="5.5703125" customWidth="1"/>
    <col min="4" max="4" width="4.5703125" customWidth="1"/>
    <col min="5" max="5" width="5.140625" customWidth="1"/>
    <col min="6" max="6" width="5.85546875" customWidth="1"/>
    <col min="7" max="7" width="5.28515625" customWidth="1"/>
    <col min="8" max="9" width="5.140625" customWidth="1"/>
    <col min="10" max="10" width="4.7109375" customWidth="1"/>
    <col min="11" max="11" width="5.85546875" customWidth="1"/>
    <col min="12" max="12" width="4.42578125" customWidth="1"/>
    <col min="13" max="13" width="5.85546875" customWidth="1"/>
    <col min="14" max="14" width="4.140625" customWidth="1"/>
    <col min="15" max="15" width="5.28515625" customWidth="1"/>
    <col min="16" max="16" width="4.28515625" customWidth="1"/>
    <col min="17" max="18" width="5.85546875" customWidth="1"/>
    <col min="19" max="19" width="5.28515625" customWidth="1"/>
    <col min="20" max="21" width="5" customWidth="1"/>
    <col min="22" max="22" width="4.28515625" customWidth="1"/>
    <col min="23" max="23" width="5.85546875" customWidth="1"/>
    <col min="24" max="24" width="4.28515625" customWidth="1"/>
    <col min="25" max="25" width="5.140625" customWidth="1"/>
    <col min="26" max="26" width="4.7109375" customWidth="1"/>
    <col min="27" max="27" width="5.28515625" customWidth="1"/>
    <col min="28" max="28" width="4.28515625" customWidth="1"/>
    <col min="29" max="29" width="5.140625" customWidth="1"/>
    <col min="30" max="30" width="4.5703125" customWidth="1"/>
    <col min="31" max="31" width="5" customWidth="1"/>
  </cols>
  <sheetData>
    <row r="1" spans="1:31">
      <c r="A1" s="149" t="s">
        <v>750</v>
      </c>
      <c r="B1" s="149"/>
      <c r="C1" s="149"/>
      <c r="D1" s="149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</row>
    <row r="2" spans="1:31">
      <c r="A2" s="149"/>
      <c r="B2" s="149"/>
      <c r="C2" s="149"/>
      <c r="D2" s="149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</row>
    <row r="3" spans="1:31">
      <c r="A3" s="149" t="str">
        <f>+'29'!A3</f>
        <v>AÑOS   2005  - 2014</v>
      </c>
      <c r="B3" s="149"/>
      <c r="C3" s="149"/>
      <c r="D3" s="149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/>
      <c r="AC3" s="117"/>
      <c r="AD3" s="117"/>
      <c r="AE3" s="117"/>
    </row>
    <row r="4" spans="1:31">
      <c r="A4" s="117"/>
      <c r="B4" s="117"/>
      <c r="C4" s="117"/>
      <c r="D4" s="117"/>
      <c r="E4" s="117"/>
      <c r="F4" s="117"/>
      <c r="G4" s="117"/>
      <c r="H4" s="117"/>
      <c r="I4" s="117"/>
      <c r="J4" s="117"/>
      <c r="K4" s="117"/>
      <c r="L4" s="117"/>
      <c r="M4" s="117"/>
      <c r="N4" s="117"/>
      <c r="O4" s="117"/>
      <c r="P4" s="117"/>
      <c r="Q4" s="117"/>
      <c r="R4" s="117"/>
      <c r="S4" s="117"/>
      <c r="T4" s="117"/>
      <c r="U4" s="117"/>
      <c r="V4" s="117"/>
      <c r="W4" s="117"/>
      <c r="X4" s="117"/>
      <c r="Y4" s="117"/>
      <c r="Z4" s="117"/>
      <c r="AA4" s="117"/>
      <c r="AB4" s="117"/>
      <c r="AC4" s="117"/>
      <c r="AD4" s="117"/>
      <c r="AE4" s="117"/>
    </row>
    <row r="5" spans="1:31">
      <c r="A5" s="1"/>
      <c r="B5" s="117"/>
      <c r="C5" s="117"/>
      <c r="D5" s="117"/>
      <c r="E5" s="117"/>
      <c r="F5" s="117"/>
      <c r="G5" s="117"/>
      <c r="H5" s="117"/>
      <c r="I5" s="117"/>
      <c r="J5" s="117"/>
      <c r="K5" s="117"/>
      <c r="L5" s="117"/>
      <c r="M5" s="117"/>
      <c r="N5" s="117"/>
      <c r="O5" s="117"/>
      <c r="P5" s="117"/>
      <c r="Q5" s="117"/>
      <c r="R5" s="117"/>
      <c r="S5" s="117"/>
      <c r="T5" s="117"/>
      <c r="U5" s="117"/>
      <c r="V5" s="117"/>
      <c r="W5" s="117"/>
      <c r="X5" s="117"/>
      <c r="Y5" s="117"/>
      <c r="Z5" s="117"/>
      <c r="AA5" s="117"/>
      <c r="AB5" s="117"/>
      <c r="AC5" s="117"/>
      <c r="AD5" s="117"/>
      <c r="AE5" s="117"/>
    </row>
    <row r="6" spans="1:31" ht="18.75" customHeight="1">
      <c r="A6" s="290"/>
      <c r="B6" s="291"/>
      <c r="C6" s="292"/>
      <c r="D6" s="291"/>
      <c r="E6" s="292"/>
      <c r="F6" s="291"/>
      <c r="G6" s="292"/>
      <c r="H6" s="246"/>
      <c r="I6" s="87"/>
      <c r="J6" s="122" t="s">
        <v>708</v>
      </c>
      <c r="K6" s="122"/>
      <c r="L6" s="122"/>
      <c r="M6" s="122"/>
      <c r="N6" s="122"/>
      <c r="O6" s="122"/>
      <c r="P6" s="122"/>
      <c r="Q6" s="122"/>
      <c r="R6" s="122"/>
      <c r="S6" s="122"/>
      <c r="T6" s="122"/>
      <c r="U6" s="122"/>
      <c r="V6" s="122"/>
      <c r="W6" s="122"/>
      <c r="X6" s="122"/>
      <c r="Y6" s="122"/>
      <c r="Z6" s="122"/>
      <c r="AA6" s="122"/>
      <c r="AB6" s="122"/>
      <c r="AC6" s="122"/>
      <c r="AD6" s="87"/>
      <c r="AE6" s="88"/>
    </row>
    <row r="7" spans="1:31">
      <c r="A7" s="252"/>
      <c r="B7" s="204"/>
      <c r="C7" s="253"/>
      <c r="D7" s="204"/>
      <c r="E7" s="255"/>
      <c r="F7" s="217" t="s">
        <v>716</v>
      </c>
      <c r="G7" s="282"/>
      <c r="H7" s="187" t="s">
        <v>717</v>
      </c>
      <c r="I7" s="249"/>
      <c r="J7" s="250"/>
      <c r="K7" s="251"/>
      <c r="L7" s="250"/>
      <c r="M7" s="251"/>
      <c r="N7" s="250"/>
      <c r="O7" s="251"/>
      <c r="P7" s="250"/>
      <c r="Q7" s="251"/>
      <c r="R7" s="187" t="s">
        <v>717</v>
      </c>
      <c r="S7" s="249"/>
      <c r="T7" s="250"/>
      <c r="U7" s="251"/>
      <c r="V7" s="250"/>
      <c r="W7" s="251"/>
      <c r="X7" s="250"/>
      <c r="Y7" s="251"/>
      <c r="Z7" s="221"/>
      <c r="AA7" s="251"/>
      <c r="AB7" s="250"/>
      <c r="AC7" s="251"/>
      <c r="AD7" s="250"/>
      <c r="AE7" s="251"/>
    </row>
    <row r="8" spans="1:31" ht="18.75" customHeight="1">
      <c r="A8" s="252" t="s">
        <v>709</v>
      </c>
      <c r="B8" s="204" t="s">
        <v>714</v>
      </c>
      <c r="C8" s="204"/>
      <c r="D8" s="204" t="s">
        <v>715</v>
      </c>
      <c r="E8" s="253"/>
      <c r="F8" s="204" t="s">
        <v>718</v>
      </c>
      <c r="G8" s="253"/>
      <c r="H8" s="204" t="s">
        <v>699</v>
      </c>
      <c r="I8" s="253"/>
      <c r="J8" s="204" t="s">
        <v>699</v>
      </c>
      <c r="K8" s="253"/>
      <c r="L8" s="254" t="s">
        <v>480</v>
      </c>
      <c r="M8" s="255"/>
      <c r="N8" s="204" t="s">
        <v>720</v>
      </c>
      <c r="O8" s="253"/>
      <c r="P8" s="204" t="s">
        <v>483</v>
      </c>
      <c r="Q8" s="253"/>
      <c r="R8" s="204" t="s">
        <v>721</v>
      </c>
      <c r="S8" s="253"/>
      <c r="T8" s="204" t="s">
        <v>721</v>
      </c>
      <c r="U8" s="253"/>
      <c r="V8" s="204" t="s">
        <v>445</v>
      </c>
      <c r="W8" s="253"/>
      <c r="X8" s="204" t="s">
        <v>463</v>
      </c>
      <c r="Y8" s="253"/>
      <c r="Z8" s="204" t="s">
        <v>468</v>
      </c>
      <c r="AA8" s="253"/>
      <c r="AB8" s="204" t="s">
        <v>722</v>
      </c>
      <c r="AC8" s="253"/>
      <c r="AD8" s="204" t="s">
        <v>470</v>
      </c>
      <c r="AE8" s="253"/>
    </row>
    <row r="9" spans="1:31" ht="20.25" customHeight="1">
      <c r="A9" s="256"/>
      <c r="B9" s="257" t="s">
        <v>736</v>
      </c>
      <c r="C9" s="259" t="s">
        <v>737</v>
      </c>
      <c r="D9" s="257" t="s">
        <v>736</v>
      </c>
      <c r="E9" s="259" t="s">
        <v>737</v>
      </c>
      <c r="F9" s="257" t="s">
        <v>736</v>
      </c>
      <c r="G9" s="259" t="s">
        <v>737</v>
      </c>
      <c r="H9" s="257" t="s">
        <v>736</v>
      </c>
      <c r="I9" s="258" t="s">
        <v>737</v>
      </c>
      <c r="J9" s="257" t="s">
        <v>736</v>
      </c>
      <c r="K9" s="258" t="s">
        <v>737</v>
      </c>
      <c r="L9" s="257" t="s">
        <v>736</v>
      </c>
      <c r="M9" s="259" t="s">
        <v>737</v>
      </c>
      <c r="N9" s="257" t="s">
        <v>736</v>
      </c>
      <c r="O9" s="259" t="s">
        <v>737</v>
      </c>
      <c r="P9" s="257" t="s">
        <v>736</v>
      </c>
      <c r="Q9" s="259" t="s">
        <v>737</v>
      </c>
      <c r="R9" s="257" t="s">
        <v>736</v>
      </c>
      <c r="S9" s="258" t="s">
        <v>737</v>
      </c>
      <c r="T9" s="257" t="s">
        <v>736</v>
      </c>
      <c r="U9" s="259" t="s">
        <v>737</v>
      </c>
      <c r="V9" s="257" t="s">
        <v>736</v>
      </c>
      <c r="W9" s="259" t="s">
        <v>737</v>
      </c>
      <c r="X9" s="257" t="s">
        <v>736</v>
      </c>
      <c r="Y9" s="259" t="s">
        <v>737</v>
      </c>
      <c r="Z9" s="257" t="s">
        <v>736</v>
      </c>
      <c r="AA9" s="259" t="s">
        <v>737</v>
      </c>
      <c r="AB9" s="257" t="s">
        <v>736</v>
      </c>
      <c r="AC9" s="259" t="s">
        <v>737</v>
      </c>
      <c r="AD9" s="257" t="s">
        <v>736</v>
      </c>
      <c r="AE9" s="259" t="s">
        <v>737</v>
      </c>
    </row>
    <row r="10" spans="1:31">
      <c r="A10" s="90"/>
      <c r="B10" s="287"/>
      <c r="C10" s="288"/>
      <c r="D10" s="287"/>
      <c r="E10" s="288"/>
      <c r="F10" s="287"/>
      <c r="G10" s="288"/>
      <c r="H10" s="289"/>
      <c r="I10" s="289"/>
      <c r="J10" s="287"/>
      <c r="K10" s="288"/>
      <c r="L10" s="287"/>
      <c r="M10" s="288"/>
      <c r="N10" s="287"/>
      <c r="O10" s="288"/>
      <c r="P10" s="287"/>
      <c r="Q10" s="288"/>
      <c r="R10" s="289"/>
      <c r="S10" s="289"/>
      <c r="T10" s="287"/>
      <c r="U10" s="288"/>
      <c r="V10" s="287"/>
      <c r="W10" s="288"/>
      <c r="X10" s="287"/>
      <c r="Y10" s="288"/>
      <c r="Z10" s="287"/>
      <c r="AA10" s="288"/>
      <c r="AB10" s="287"/>
      <c r="AC10" s="288"/>
      <c r="AD10" s="289"/>
      <c r="AE10" s="288"/>
    </row>
    <row r="11" spans="1:31" s="6" customFormat="1" ht="26.25" customHeight="1">
      <c r="A11" s="261">
        <f>+'29'!A11</f>
        <v>2005</v>
      </c>
      <c r="B11" s="207">
        <v>48</v>
      </c>
      <c r="C11" s="275">
        <f>+B11/'17'!B11*10000</f>
        <v>1.9754712322001811</v>
      </c>
      <c r="D11" s="264">
        <v>9</v>
      </c>
      <c r="E11" s="275">
        <f>+D11/'17'!D11*10000</f>
        <v>3.8451679056652144</v>
      </c>
      <c r="F11" s="207">
        <f t="shared" ref="F11:F16" si="0">+J11+L11+N11+P11+T11+V11+X11+Z11+AB11+AD11</f>
        <v>1</v>
      </c>
      <c r="G11" s="274">
        <f>+F11/'17'!F11*10000</f>
        <v>2.7210884353741496</v>
      </c>
      <c r="H11" s="207">
        <f t="shared" ref="H11:H16" si="1">+J11+L11+N11+P11</f>
        <v>1</v>
      </c>
      <c r="I11" s="277">
        <f>+H11/'17'!H11*10000</f>
        <v>6.5616797900262469</v>
      </c>
      <c r="J11" s="207">
        <v>0</v>
      </c>
      <c r="K11" s="274">
        <f>+J11/'17'!J11*10000</f>
        <v>0</v>
      </c>
      <c r="L11" s="264">
        <v>0</v>
      </c>
      <c r="M11" s="267">
        <f>+L11/'17'!L11*10000</f>
        <v>0</v>
      </c>
      <c r="N11" s="264">
        <v>1</v>
      </c>
      <c r="O11" s="267">
        <f>+N11/'17'!N11*10000</f>
        <v>67.114093959731548</v>
      </c>
      <c r="P11" s="264">
        <v>0</v>
      </c>
      <c r="Q11" s="267">
        <f>+P11/'17'!P11*10000</f>
        <v>0</v>
      </c>
      <c r="R11" s="208">
        <f t="shared" ref="R11:R16" si="2">+T11+V11+X11+Z11+AB11+AD11</f>
        <v>0</v>
      </c>
      <c r="S11" s="277">
        <f>+R11/'17'!R11*10000</f>
        <v>0</v>
      </c>
      <c r="T11" s="207">
        <v>0</v>
      </c>
      <c r="U11" s="267">
        <f>+T11/'17'!T11*10000</f>
        <v>0</v>
      </c>
      <c r="V11" s="264">
        <v>0</v>
      </c>
      <c r="W11" s="267">
        <f>+V11/'17'!V11*10000</f>
        <v>0</v>
      </c>
      <c r="X11" s="264">
        <v>0</v>
      </c>
      <c r="Y11" s="267">
        <f>+X11/'17'!X11*10000</f>
        <v>0</v>
      </c>
      <c r="Z11" s="264">
        <v>0</v>
      </c>
      <c r="AA11" s="267">
        <f>+Z11/'17'!Z11*10000</f>
        <v>0</v>
      </c>
      <c r="AB11" s="264">
        <v>0</v>
      </c>
      <c r="AC11" s="267">
        <f>+AB11/'17'!AB11*10000</f>
        <v>0</v>
      </c>
      <c r="AD11" s="265">
        <v>0</v>
      </c>
      <c r="AE11" s="267">
        <f>+AD11/'17'!AD11*10000</f>
        <v>0</v>
      </c>
    </row>
    <row r="12" spans="1:31" s="6" customFormat="1" ht="26.25" customHeight="1">
      <c r="A12" s="261">
        <f>+'29'!A12</f>
        <v>2006</v>
      </c>
      <c r="B12" s="207">
        <v>47</v>
      </c>
      <c r="C12" s="275">
        <f>+B12/'17'!B12*10000</f>
        <v>1.9297013889744252</v>
      </c>
      <c r="D12" s="264">
        <v>11</v>
      </c>
      <c r="E12" s="275">
        <f>+D12/'17'!D12*10000</f>
        <v>4.8218121246657608</v>
      </c>
      <c r="F12" s="207">
        <f t="shared" si="0"/>
        <v>3</v>
      </c>
      <c r="G12" s="274">
        <f>+F12/'17'!F12*10000</f>
        <v>8.4793668739400783</v>
      </c>
      <c r="H12" s="207">
        <f t="shared" si="1"/>
        <v>2</v>
      </c>
      <c r="I12" s="277">
        <f>+H12/'17'!H12*10000</f>
        <v>14.174344436569809</v>
      </c>
      <c r="J12" s="207">
        <v>2</v>
      </c>
      <c r="K12" s="274">
        <f>+J12/'17'!J12*10000</f>
        <v>21.482277121374864</v>
      </c>
      <c r="L12" s="264">
        <v>0</v>
      </c>
      <c r="M12" s="267">
        <f>+L12/'17'!L12*10000</f>
        <v>0</v>
      </c>
      <c r="N12" s="264">
        <v>0</v>
      </c>
      <c r="O12" s="267">
        <f>+N12/'17'!N12*10000</f>
        <v>0</v>
      </c>
      <c r="P12" s="264">
        <v>0</v>
      </c>
      <c r="Q12" s="267">
        <f>+P12/'17'!P12*10000</f>
        <v>0</v>
      </c>
      <c r="R12" s="208">
        <f t="shared" si="2"/>
        <v>1</v>
      </c>
      <c r="S12" s="277">
        <f>+R12/'17'!R12*10000</f>
        <v>4.7014574518100609</v>
      </c>
      <c r="T12" s="207">
        <v>1</v>
      </c>
      <c r="U12" s="267">
        <f>+T12/'17'!T12*10000</f>
        <v>8.9126559714795004</v>
      </c>
      <c r="V12" s="264">
        <v>0</v>
      </c>
      <c r="W12" s="267">
        <f>+V12/'17'!V12*10000</f>
        <v>0</v>
      </c>
      <c r="X12" s="264">
        <v>0</v>
      </c>
      <c r="Y12" s="267">
        <f>+X12/'17'!X12*10000</f>
        <v>0</v>
      </c>
      <c r="Z12" s="264">
        <v>0</v>
      </c>
      <c r="AA12" s="267">
        <f>+Z12/'17'!Z12*10000</f>
        <v>0</v>
      </c>
      <c r="AB12" s="264">
        <v>0</v>
      </c>
      <c r="AC12" s="267">
        <f>+AB12/'17'!AB12*10000</f>
        <v>0</v>
      </c>
      <c r="AD12" s="265">
        <v>0</v>
      </c>
      <c r="AE12" s="267">
        <f>+AD12/'17'!AD12*10000</f>
        <v>0</v>
      </c>
    </row>
    <row r="13" spans="1:31" s="6" customFormat="1" ht="26.25" customHeight="1">
      <c r="A13" s="261">
        <f>+'29'!A13</f>
        <v>2007</v>
      </c>
      <c r="B13" s="207">
        <v>44</v>
      </c>
      <c r="C13" s="275">
        <f>+B13/'17'!B13*10000</f>
        <v>1.8177761986994638</v>
      </c>
      <c r="D13" s="264">
        <v>4</v>
      </c>
      <c r="E13" s="275">
        <f>+D13/'17'!D13*10000</f>
        <v>1.7534630896019641</v>
      </c>
      <c r="F13" s="207">
        <f t="shared" si="0"/>
        <v>0</v>
      </c>
      <c r="G13" s="274">
        <f>+F13/'17'!F13*10000</f>
        <v>0</v>
      </c>
      <c r="H13" s="207">
        <f t="shared" si="1"/>
        <v>0</v>
      </c>
      <c r="I13" s="277">
        <f>+H13/'17'!H13*10000</f>
        <v>0</v>
      </c>
      <c r="J13" s="207">
        <v>0</v>
      </c>
      <c r="K13" s="274">
        <f>+J13/'17'!J13*10000</f>
        <v>0</v>
      </c>
      <c r="L13" s="264">
        <v>0</v>
      </c>
      <c r="M13" s="267">
        <f>+L13/'17'!L13*10000</f>
        <v>0</v>
      </c>
      <c r="N13" s="264">
        <v>0</v>
      </c>
      <c r="O13" s="267">
        <f>+N13/'17'!N13*10000</f>
        <v>0</v>
      </c>
      <c r="P13" s="264">
        <v>0</v>
      </c>
      <c r="Q13" s="267">
        <f>+P13/'17'!P13*10000</f>
        <v>0</v>
      </c>
      <c r="R13" s="208">
        <f t="shared" si="2"/>
        <v>0</v>
      </c>
      <c r="S13" s="277">
        <f>+R13/'17'!R13*10000</f>
        <v>0</v>
      </c>
      <c r="T13" s="207">
        <v>0</v>
      </c>
      <c r="U13" s="267">
        <f>+T13/'17'!T13*10000</f>
        <v>0</v>
      </c>
      <c r="V13" s="264">
        <v>0</v>
      </c>
      <c r="W13" s="267">
        <f>+V13/'17'!V13*10000</f>
        <v>0</v>
      </c>
      <c r="X13" s="264">
        <v>0</v>
      </c>
      <c r="Y13" s="267">
        <f>+X13/'17'!X13*10000</f>
        <v>0</v>
      </c>
      <c r="Z13" s="264">
        <v>0</v>
      </c>
      <c r="AA13" s="267">
        <f>+Z13/'17'!Z13*10000</f>
        <v>0</v>
      </c>
      <c r="AB13" s="264">
        <v>0</v>
      </c>
      <c r="AC13" s="267">
        <f>+AB13/'17'!AB13*10000</f>
        <v>0</v>
      </c>
      <c r="AD13" s="265">
        <v>0</v>
      </c>
      <c r="AE13" s="267">
        <f>+AD13/'17'!AD13*10000</f>
        <v>0</v>
      </c>
    </row>
    <row r="14" spans="1:31" s="6" customFormat="1" ht="26.25" customHeight="1">
      <c r="A14" s="261">
        <f>+'29'!A14</f>
        <v>2008</v>
      </c>
      <c r="B14" s="207">
        <v>41</v>
      </c>
      <c r="C14" s="275">
        <f>+B14/'17'!B14*10000</f>
        <v>1.6507895605678715</v>
      </c>
      <c r="D14" s="264">
        <v>3</v>
      </c>
      <c r="E14" s="275">
        <f>+D14/'17'!D14*10000</f>
        <v>1.2929362582424686</v>
      </c>
      <c r="F14" s="207">
        <f t="shared" si="0"/>
        <v>0</v>
      </c>
      <c r="G14" s="274">
        <f>+F14/'17'!F14*10000</f>
        <v>0</v>
      </c>
      <c r="H14" s="207">
        <f t="shared" si="1"/>
        <v>0</v>
      </c>
      <c r="I14" s="277">
        <f>+H14/'17'!H14*10000</f>
        <v>0</v>
      </c>
      <c r="J14" s="207">
        <v>0</v>
      </c>
      <c r="K14" s="274">
        <f>+J14/'17'!J14*10000</f>
        <v>0</v>
      </c>
      <c r="L14" s="264">
        <v>0</v>
      </c>
      <c r="M14" s="267">
        <f>+L14/'17'!L14*10000</f>
        <v>0</v>
      </c>
      <c r="N14" s="264">
        <v>0</v>
      </c>
      <c r="O14" s="267">
        <f>+N14/'17'!N14*10000</f>
        <v>0</v>
      </c>
      <c r="P14" s="264">
        <v>0</v>
      </c>
      <c r="Q14" s="267">
        <f>+P14/'17'!P14*10000</f>
        <v>0</v>
      </c>
      <c r="R14" s="208">
        <f t="shared" si="2"/>
        <v>0</v>
      </c>
      <c r="S14" s="277">
        <f>+R14/'17'!R14*10000</f>
        <v>0</v>
      </c>
      <c r="T14" s="207">
        <v>0</v>
      </c>
      <c r="U14" s="267">
        <f>+T14/'17'!T14*10000</f>
        <v>0</v>
      </c>
      <c r="V14" s="264">
        <v>0</v>
      </c>
      <c r="W14" s="267">
        <f>+V14/'17'!V14*10000</f>
        <v>0</v>
      </c>
      <c r="X14" s="264">
        <v>0</v>
      </c>
      <c r="Y14" s="267">
        <f>+X14/'17'!X14*10000</f>
        <v>0</v>
      </c>
      <c r="Z14" s="264">
        <v>0</v>
      </c>
      <c r="AA14" s="267">
        <f>+Z14/'17'!Z14*10000</f>
        <v>0</v>
      </c>
      <c r="AB14" s="264">
        <v>0</v>
      </c>
      <c r="AC14" s="267">
        <f>+AB14/'17'!AB14*10000</f>
        <v>0</v>
      </c>
      <c r="AD14" s="265">
        <v>0</v>
      </c>
      <c r="AE14" s="267">
        <f>+AD14/'17'!AD14*10000</f>
        <v>0</v>
      </c>
    </row>
    <row r="15" spans="1:31" s="6" customFormat="1" ht="26.25" customHeight="1">
      <c r="A15" s="261">
        <f>+'29'!A15</f>
        <v>2009</v>
      </c>
      <c r="B15" s="207">
        <v>50</v>
      </c>
      <c r="C15" s="275">
        <f>+B15/'17'!B15*10000</f>
        <v>1.9822391373295274</v>
      </c>
      <c r="D15" s="264">
        <v>5</v>
      </c>
      <c r="E15" s="275">
        <f>+D15/'17'!D15*10000</f>
        <v>2.106593638087213</v>
      </c>
      <c r="F15" s="207">
        <f t="shared" si="0"/>
        <v>2</v>
      </c>
      <c r="G15" s="274">
        <f>+F15/'17'!F15*10000</f>
        <v>5.4024851431658565</v>
      </c>
      <c r="H15" s="207">
        <f t="shared" si="1"/>
        <v>1</v>
      </c>
      <c r="I15" s="277">
        <f>+H15/'17'!H15*10000</f>
        <v>6.5189048239895699</v>
      </c>
      <c r="J15" s="207">
        <v>0</v>
      </c>
      <c r="K15" s="274">
        <f>+J15/'17'!J15*10000</f>
        <v>0</v>
      </c>
      <c r="L15" s="264">
        <v>0</v>
      </c>
      <c r="M15" s="267">
        <f>+L15/'17'!L15*10000</f>
        <v>0</v>
      </c>
      <c r="N15" s="264">
        <v>0</v>
      </c>
      <c r="O15" s="267">
        <f>+N15/'17'!N15*10000</f>
        <v>0</v>
      </c>
      <c r="P15" s="264">
        <v>1</v>
      </c>
      <c r="Q15" s="267">
        <f>+P15/'17'!P15*10000</f>
        <v>75.187969924812023</v>
      </c>
      <c r="R15" s="208">
        <f t="shared" si="2"/>
        <v>1</v>
      </c>
      <c r="S15" s="277">
        <f>+R15/'17'!R15*10000</f>
        <v>4.6125461254612548</v>
      </c>
      <c r="T15" s="207">
        <v>0</v>
      </c>
      <c r="U15" s="267">
        <f>+T15/'17'!T15*10000</f>
        <v>0</v>
      </c>
      <c r="V15" s="264">
        <v>0</v>
      </c>
      <c r="W15" s="267">
        <f>+V15/'17'!V15*10000</f>
        <v>0</v>
      </c>
      <c r="X15" s="264">
        <v>1</v>
      </c>
      <c r="Y15" s="267">
        <f>+X15/'17'!X15*10000</f>
        <v>58.823529411764703</v>
      </c>
      <c r="Z15" s="264">
        <v>0</v>
      </c>
      <c r="AA15" s="267">
        <f>+Z15/'17'!Z15*10000</f>
        <v>0</v>
      </c>
      <c r="AB15" s="264">
        <v>0</v>
      </c>
      <c r="AC15" s="267">
        <f>+AB15/'17'!AB15*10000</f>
        <v>0</v>
      </c>
      <c r="AD15" s="265">
        <v>0</v>
      </c>
      <c r="AE15" s="267">
        <f>+AD15/'17'!AD15*10000</f>
        <v>0</v>
      </c>
    </row>
    <row r="16" spans="1:31" s="6" customFormat="1" ht="26.25" customHeight="1">
      <c r="A16" s="261">
        <f>+'29'!A16</f>
        <v>2010</v>
      </c>
      <c r="B16" s="207">
        <v>46</v>
      </c>
      <c r="C16" s="275">
        <f>+B16/'17'!B16*10000</f>
        <v>1.8312174809613095</v>
      </c>
      <c r="D16" s="264">
        <v>4</v>
      </c>
      <c r="E16" s="275">
        <f>+D16/'17'!D16*10000</f>
        <v>1.6792611251049538</v>
      </c>
      <c r="F16" s="207">
        <f t="shared" si="0"/>
        <v>0</v>
      </c>
      <c r="G16" s="274">
        <f>+F16/'17'!F16*10000</f>
        <v>0</v>
      </c>
      <c r="H16" s="207">
        <f t="shared" si="1"/>
        <v>0</v>
      </c>
      <c r="I16" s="277">
        <f>+H16/'17'!H16*10000</f>
        <v>0</v>
      </c>
      <c r="J16" s="207">
        <v>0</v>
      </c>
      <c r="K16" s="274">
        <f>+J16/'17'!J16*10000</f>
        <v>0</v>
      </c>
      <c r="L16" s="264">
        <v>0</v>
      </c>
      <c r="M16" s="267">
        <f>+L16/'17'!L16*10000</f>
        <v>0</v>
      </c>
      <c r="N16" s="264">
        <v>0</v>
      </c>
      <c r="O16" s="267">
        <f>+N16/'17'!N16*10000</f>
        <v>0</v>
      </c>
      <c r="P16" s="264">
        <v>0</v>
      </c>
      <c r="Q16" s="267">
        <f>+P16/'17'!P16*10000</f>
        <v>0</v>
      </c>
      <c r="R16" s="208">
        <f t="shared" si="2"/>
        <v>0</v>
      </c>
      <c r="S16" s="277">
        <f>+R16/'17'!R16*10000</f>
        <v>0</v>
      </c>
      <c r="T16" s="207">
        <v>0</v>
      </c>
      <c r="U16" s="267">
        <f>+T16/'17'!T16*10000</f>
        <v>0</v>
      </c>
      <c r="V16" s="264">
        <v>0</v>
      </c>
      <c r="W16" s="267">
        <f>+V16/'17'!V16*10000</f>
        <v>0</v>
      </c>
      <c r="X16" s="264"/>
      <c r="Y16" s="267">
        <f>+X16/'17'!X16*10000</f>
        <v>0</v>
      </c>
      <c r="Z16" s="264">
        <v>0</v>
      </c>
      <c r="AA16" s="267">
        <f>+Z16/'17'!Z16*10000</f>
        <v>0</v>
      </c>
      <c r="AB16" s="264">
        <v>0</v>
      </c>
      <c r="AC16" s="267">
        <f>+AB16/'17'!AB16*10000</f>
        <v>0</v>
      </c>
      <c r="AD16" s="265">
        <v>0</v>
      </c>
      <c r="AE16" s="267">
        <f>+AD16/'17'!AD16*10000</f>
        <v>0</v>
      </c>
    </row>
    <row r="17" spans="1:31" s="6" customFormat="1" ht="26.25" customHeight="1">
      <c r="A17" s="261">
        <f>+'29'!A17</f>
        <v>2011</v>
      </c>
      <c r="B17" s="207">
        <v>46</v>
      </c>
      <c r="C17" s="275">
        <f>+B17/'17'!B17*10000</f>
        <v>1.8482877221461032</v>
      </c>
      <c r="D17" s="264">
        <v>0</v>
      </c>
      <c r="E17" s="275">
        <v>0</v>
      </c>
      <c r="F17" s="207">
        <f>+J17+L17+N17+P17+T17+V17+X17+Z17+AB17+AD17</f>
        <v>0</v>
      </c>
      <c r="G17" s="274">
        <f>+F17/'17'!F17*10000</f>
        <v>0</v>
      </c>
      <c r="H17" s="207">
        <f>+J17+L17+N17+P17</f>
        <v>0</v>
      </c>
      <c r="I17" s="277">
        <f>+H17/'17'!H17*10000</f>
        <v>0</v>
      </c>
      <c r="J17" s="207">
        <v>0</v>
      </c>
      <c r="K17" s="274">
        <f>+J17/'17'!J17*10000</f>
        <v>0</v>
      </c>
      <c r="L17" s="264">
        <v>0</v>
      </c>
      <c r="M17" s="267">
        <f>+L17/'17'!L17*10000</f>
        <v>0</v>
      </c>
      <c r="N17" s="264">
        <v>0</v>
      </c>
      <c r="O17" s="267">
        <f>+N17/'17'!N17*10000</f>
        <v>0</v>
      </c>
      <c r="P17" s="264">
        <v>0</v>
      </c>
      <c r="Q17" s="267">
        <f>+P17/'17'!P17*10000</f>
        <v>0</v>
      </c>
      <c r="R17" s="208">
        <f>+T17+V17+X17+Z17+AB17+AD17</f>
        <v>0</v>
      </c>
      <c r="S17" s="277">
        <f>+R17/'17'!R17*10000</f>
        <v>0</v>
      </c>
      <c r="T17" s="207">
        <v>0</v>
      </c>
      <c r="U17" s="267">
        <f>+T17/'17'!T17*10000</f>
        <v>0</v>
      </c>
      <c r="V17" s="264">
        <v>0</v>
      </c>
      <c r="W17" s="267">
        <f>+V17/'17'!V17*10000</f>
        <v>0</v>
      </c>
      <c r="X17" s="264"/>
      <c r="Y17" s="267">
        <f>+X17/'17'!X17*10000</f>
        <v>0</v>
      </c>
      <c r="Z17" s="264">
        <v>0</v>
      </c>
      <c r="AA17" s="267">
        <f>+Z17/'17'!Z17*10000</f>
        <v>0</v>
      </c>
      <c r="AB17" s="264">
        <v>0</v>
      </c>
      <c r="AC17" s="267">
        <f>+AB17/'17'!AB17*10000</f>
        <v>0</v>
      </c>
      <c r="AD17" s="265">
        <v>0</v>
      </c>
      <c r="AE17" s="267">
        <f>+AD17/'17'!AD17*10000</f>
        <v>0</v>
      </c>
    </row>
    <row r="18" spans="1:31" s="6" customFormat="1" ht="26.25" customHeight="1">
      <c r="A18" s="261">
        <f>+'29'!A18</f>
        <v>2012</v>
      </c>
      <c r="B18" s="266"/>
      <c r="C18" s="275"/>
      <c r="D18" s="264"/>
      <c r="E18" s="275"/>
      <c r="F18" s="207">
        <f>+J18+L18+N18+P18+T18+V18+X18+Z18+AB18+AD18</f>
        <v>1</v>
      </c>
      <c r="G18" s="274">
        <f>+F18/'17'!F18*10000</f>
        <v>2.7548209366391183</v>
      </c>
      <c r="H18" s="207">
        <f>+J18+L18+N18+P18</f>
        <v>1</v>
      </c>
      <c r="I18" s="277">
        <f>+H18/'17'!H18*10000</f>
        <v>6.9108500345542501</v>
      </c>
      <c r="J18" s="207"/>
      <c r="K18" s="274">
        <f>+J18/'17'!J18*10000</f>
        <v>0</v>
      </c>
      <c r="L18" s="264">
        <v>1</v>
      </c>
      <c r="M18" s="267">
        <f>+L18/'17'!L18*10000</f>
        <v>45.871559633027523</v>
      </c>
      <c r="N18" s="264"/>
      <c r="O18" s="267">
        <f>+N18/'17'!N18*10000</f>
        <v>0</v>
      </c>
      <c r="P18" s="264"/>
      <c r="Q18" s="267">
        <f>+P18/'17'!P18*10000</f>
        <v>0</v>
      </c>
      <c r="R18" s="208">
        <f>+T18+V18+X18+Z18+AB18+AD18</f>
        <v>0</v>
      </c>
      <c r="S18" s="277">
        <f>+R18/'17'!R18*10000</f>
        <v>0</v>
      </c>
      <c r="T18" s="207"/>
      <c r="U18" s="267">
        <f>+T18/'17'!T18*10000</f>
        <v>0</v>
      </c>
      <c r="V18" s="264"/>
      <c r="W18" s="267">
        <f>+V18/'17'!V18*10000</f>
        <v>0</v>
      </c>
      <c r="X18" s="264"/>
      <c r="Y18" s="267">
        <f>+X18/'17'!X18*10000</f>
        <v>0</v>
      </c>
      <c r="Z18" s="264"/>
      <c r="AA18" s="267">
        <f>+Z18/'17'!Z18*10000</f>
        <v>0</v>
      </c>
      <c r="AB18" s="264"/>
      <c r="AC18" s="267">
        <f>+AB18/'17'!AB18*10000</f>
        <v>0</v>
      </c>
      <c r="AD18" s="265"/>
      <c r="AE18" s="267">
        <f>+AD18/'17'!AD18*10000</f>
        <v>0</v>
      </c>
    </row>
    <row r="19" spans="1:31" s="6" customFormat="1" ht="26.25" customHeight="1">
      <c r="A19" s="261">
        <f>+'29'!A19</f>
        <v>2013</v>
      </c>
      <c r="B19" s="266"/>
      <c r="C19" s="275"/>
      <c r="D19" s="264"/>
      <c r="E19" s="275"/>
      <c r="F19" s="207">
        <f>+J19+L19+N19+P19+T19+V19+X19+Z19+AB19+AD19</f>
        <v>0</v>
      </c>
      <c r="G19" s="274">
        <f>+F19/'17'!F19*10000</f>
        <v>0</v>
      </c>
      <c r="H19" s="207">
        <f>+J19+L19+N19+P19</f>
        <v>0</v>
      </c>
      <c r="I19" s="277">
        <f>+H19/'17'!H19*10000</f>
        <v>0</v>
      </c>
      <c r="J19" s="207"/>
      <c r="K19" s="274">
        <f>+J19/'17'!J19*10000</f>
        <v>0</v>
      </c>
      <c r="L19" s="264"/>
      <c r="M19" s="267">
        <f>+L19/'17'!L19*10000</f>
        <v>0</v>
      </c>
      <c r="N19" s="264"/>
      <c r="O19" s="267">
        <f>+N19/'17'!N19*10000</f>
        <v>0</v>
      </c>
      <c r="P19" s="264"/>
      <c r="Q19" s="267">
        <f>+P19/'17'!P19*10000</f>
        <v>0</v>
      </c>
      <c r="R19" s="208">
        <f>+T19+V19+X19+Z19+AB19+AD19</f>
        <v>0</v>
      </c>
      <c r="S19" s="277">
        <f>+R19/'17'!R19*10000</f>
        <v>0</v>
      </c>
      <c r="T19" s="207"/>
      <c r="U19" s="267">
        <f>+T19/'17'!T19*10000</f>
        <v>0</v>
      </c>
      <c r="V19" s="264"/>
      <c r="W19" s="267">
        <f>+V19/'17'!V19*10000</f>
        <v>0</v>
      </c>
      <c r="X19" s="264"/>
      <c r="Y19" s="267">
        <f>+X19/'17'!X19*10000</f>
        <v>0</v>
      </c>
      <c r="Z19" s="264"/>
      <c r="AA19" s="267">
        <f>+Z19/'17'!Z19*10000</f>
        <v>0</v>
      </c>
      <c r="AB19" s="264"/>
      <c r="AC19" s="267">
        <f>+AB19/'17'!AB19*10000</f>
        <v>0</v>
      </c>
      <c r="AD19" s="265"/>
      <c r="AE19" s="267">
        <f>+AD19/'17'!AD19*10000</f>
        <v>0</v>
      </c>
    </row>
    <row r="20" spans="1:31" s="6" customFormat="1" ht="26.25" customHeight="1">
      <c r="A20" s="261">
        <f>+'29'!A20</f>
        <v>2014</v>
      </c>
      <c r="B20" s="266"/>
      <c r="C20" s="275"/>
      <c r="D20" s="264"/>
      <c r="E20" s="275"/>
      <c r="F20" s="207">
        <f>+J20+L20+N20+P20+T20+V20+X20+Z20+AB20+AD20</f>
        <v>2</v>
      </c>
      <c r="G20" s="274">
        <f>+F20/'17'!F20*10000</f>
        <v>5.329070077271516</v>
      </c>
      <c r="H20" s="207">
        <f>+J20+L20+N20+P20</f>
        <v>1</v>
      </c>
      <c r="I20" s="277">
        <f>+H20/'17'!H20*10000</f>
        <v>6.4061499039077514</v>
      </c>
      <c r="J20" s="207"/>
      <c r="K20" s="274">
        <f>+J20/'17'!J20*10000</f>
        <v>0</v>
      </c>
      <c r="L20" s="264">
        <v>1</v>
      </c>
      <c r="M20" s="267">
        <f>+L20/'17'!L20*10000</f>
        <v>39.370078740157481</v>
      </c>
      <c r="N20" s="264"/>
      <c r="O20" s="267">
        <f>+N20/'17'!N20*10000</f>
        <v>0</v>
      </c>
      <c r="P20" s="264"/>
      <c r="Q20" s="267">
        <f>+P20/'17'!P20*10000</f>
        <v>0</v>
      </c>
      <c r="R20" s="208">
        <f>+T20+V20+X20+Z20+AB20+AD20</f>
        <v>1</v>
      </c>
      <c r="S20" s="277">
        <f>+R20/'17'!R20*10000</f>
        <v>4.562043795620438</v>
      </c>
      <c r="T20" s="207">
        <v>1</v>
      </c>
      <c r="U20" s="267">
        <f>+T20/'17'!T20*10000</f>
        <v>9.0826521344232507</v>
      </c>
      <c r="V20" s="264"/>
      <c r="W20" s="267">
        <f>+V20/'17'!V20*10000</f>
        <v>0</v>
      </c>
      <c r="X20" s="264"/>
      <c r="Y20" s="267">
        <f>+X20/'17'!X20*10000</f>
        <v>0</v>
      </c>
      <c r="Z20" s="264"/>
      <c r="AA20" s="267">
        <f>+Z20/'17'!Z20*10000</f>
        <v>0</v>
      </c>
      <c r="AB20" s="264"/>
      <c r="AC20" s="267">
        <f>+AB20/'17'!AB20*10000</f>
        <v>0</v>
      </c>
      <c r="AD20" s="265"/>
      <c r="AE20" s="267">
        <f>+AD20/'17'!AD20*10000</f>
        <v>0</v>
      </c>
    </row>
    <row r="21" spans="1:31">
      <c r="A21" s="268"/>
      <c r="B21" s="210"/>
      <c r="C21" s="269"/>
      <c r="D21" s="210"/>
      <c r="E21" s="269"/>
      <c r="F21" s="216"/>
      <c r="G21" s="269"/>
      <c r="H21" s="270"/>
      <c r="I21" s="270"/>
      <c r="J21" s="210"/>
      <c r="K21" s="269"/>
      <c r="L21" s="210"/>
      <c r="M21" s="269"/>
      <c r="N21" s="210"/>
      <c r="O21" s="269"/>
      <c r="P21" s="210"/>
      <c r="Q21" s="269"/>
      <c r="R21" s="270"/>
      <c r="S21" s="270"/>
      <c r="T21" s="210"/>
      <c r="U21" s="269"/>
      <c r="V21" s="210"/>
      <c r="W21" s="269"/>
      <c r="X21" s="210"/>
      <c r="Y21" s="269"/>
      <c r="Z21" s="210"/>
      <c r="AA21" s="269"/>
      <c r="AB21" s="210"/>
      <c r="AC21" s="269"/>
      <c r="AD21" s="270"/>
      <c r="AE21" s="269"/>
    </row>
    <row r="22" spans="1:31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</row>
    <row r="23" spans="1:31">
      <c r="A23" s="1"/>
      <c r="B23" s="221" t="str">
        <f>+'23'!B23</f>
        <v>AÑO   2014  :   DATOS POR OCURRENCIA   (Provisorios)</v>
      </c>
      <c r="C23" s="271"/>
      <c r="D23" s="271"/>
      <c r="E23" s="271"/>
      <c r="F23" s="271"/>
      <c r="G23" s="271"/>
      <c r="H23" s="271"/>
      <c r="I23" s="271"/>
      <c r="J23" s="271"/>
      <c r="K23" s="217"/>
      <c r="L23" s="217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</row>
    <row r="24" spans="1:31">
      <c r="A24" s="1"/>
      <c r="B24" s="217"/>
      <c r="C24" s="221" t="s">
        <v>751</v>
      </c>
      <c r="D24" s="221"/>
      <c r="E24" s="217"/>
      <c r="F24" s="217"/>
      <c r="G24" s="217"/>
      <c r="H24" s="217"/>
      <c r="I24" s="217"/>
      <c r="J24" s="217"/>
      <c r="K24" s="217"/>
      <c r="L24" s="217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</row>
    <row r="25" spans="1:3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</row>
  </sheetData>
  <phoneticPr fontId="19" type="noConversion"/>
  <pageMargins left="0.98425196850393704" right="0.59055118110236227" top="1.7716535433070868" bottom="0.59055118110236227" header="0.51181102362204722" footer="0.51181102362204722"/>
  <pageSetup paperSize="5" scale="90" orientation="landscape" horizontalDpi="300" verticalDpi="300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29"/>
  <sheetViews>
    <sheetView topLeftCell="A17" workbookViewId="0">
      <selection activeCell="F17" sqref="F17"/>
    </sheetView>
  </sheetViews>
  <sheetFormatPr baseColWidth="10" defaultRowHeight="12.75"/>
  <cols>
    <col min="1" max="1" width="5.28515625" customWidth="1"/>
    <col min="2" max="3" width="5.85546875" customWidth="1"/>
    <col min="4" max="4" width="5.5703125" customWidth="1"/>
    <col min="5" max="5" width="5.85546875" customWidth="1"/>
    <col min="6" max="7" width="5.7109375" customWidth="1"/>
    <col min="8" max="8" width="5.42578125" customWidth="1"/>
    <col min="9" max="9" width="6.7109375" customWidth="1"/>
    <col min="10" max="10" width="5.28515625" customWidth="1"/>
    <col min="11" max="11" width="5.140625" customWidth="1"/>
    <col min="12" max="12" width="4.7109375" customWidth="1"/>
    <col min="13" max="13" width="5.140625" customWidth="1"/>
    <col min="14" max="14" width="4.7109375" customWidth="1"/>
    <col min="15" max="15" width="5.140625" customWidth="1"/>
    <col min="16" max="16" width="4.7109375" customWidth="1"/>
    <col min="17" max="19" width="5.140625" customWidth="1"/>
    <col min="20" max="20" width="5.28515625" customWidth="1"/>
    <col min="21" max="21" width="5.140625" customWidth="1"/>
    <col min="22" max="22" width="5.28515625" customWidth="1"/>
    <col min="23" max="23" width="5.140625" customWidth="1"/>
    <col min="24" max="24" width="4.7109375" customWidth="1"/>
    <col min="25" max="25" width="5.140625" customWidth="1"/>
    <col min="26" max="26" width="5.28515625" customWidth="1"/>
    <col min="27" max="27" width="5.140625" customWidth="1"/>
    <col min="28" max="28" width="5.28515625" customWidth="1"/>
    <col min="29" max="29" width="5.140625" customWidth="1"/>
    <col min="30" max="30" width="5.28515625" customWidth="1"/>
    <col min="31" max="31" width="5.140625" customWidth="1"/>
  </cols>
  <sheetData>
    <row r="1" spans="1:31">
      <c r="A1" s="149" t="s">
        <v>752</v>
      </c>
      <c r="B1" s="149"/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</row>
    <row r="2" spans="1:31">
      <c r="A2" s="149"/>
      <c r="B2" s="149"/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</row>
    <row r="3" spans="1:31">
      <c r="A3" s="149" t="str">
        <f>+'31'!A3</f>
        <v>AÑOS   2005  - 2014</v>
      </c>
      <c r="B3" s="149"/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/>
      <c r="AC3" s="117"/>
      <c r="AD3" s="117"/>
      <c r="AE3" s="117"/>
    </row>
    <row r="4" spans="1:31">
      <c r="A4" s="117"/>
      <c r="B4" s="117"/>
      <c r="C4" s="117"/>
      <c r="D4" s="117"/>
      <c r="E4" s="117"/>
      <c r="F4" s="117"/>
      <c r="G4" s="117"/>
      <c r="H4" s="117"/>
      <c r="I4" s="117"/>
      <c r="J4" s="117"/>
      <c r="K4" s="117"/>
      <c r="L4" s="117"/>
      <c r="M4" s="117"/>
      <c r="N4" s="117"/>
      <c r="O4" s="117"/>
      <c r="P4" s="117"/>
      <c r="Q4" s="117"/>
      <c r="R4" s="117"/>
      <c r="S4" s="117"/>
      <c r="T4" s="117"/>
      <c r="U4" s="117"/>
      <c r="V4" s="117"/>
      <c r="W4" s="117"/>
      <c r="X4" s="117"/>
      <c r="Y4" s="117"/>
      <c r="Z4" s="117"/>
      <c r="AA4" s="117"/>
      <c r="AB4" s="117"/>
      <c r="AC4" s="117"/>
      <c r="AD4" s="117"/>
      <c r="AE4" s="117"/>
    </row>
    <row r="5" spans="1:31">
      <c r="A5" s="1"/>
      <c r="B5" s="117"/>
      <c r="C5" s="117"/>
      <c r="D5" s="117"/>
      <c r="E5" s="117"/>
      <c r="F5" s="117"/>
      <c r="G5" s="117"/>
      <c r="H5" s="117"/>
      <c r="I5" s="117"/>
      <c r="J5" s="117"/>
      <c r="K5" s="117"/>
      <c r="L5" s="117"/>
      <c r="M5" s="117"/>
      <c r="N5" s="117"/>
      <c r="O5" s="117"/>
      <c r="P5" s="117"/>
      <c r="Q5" s="117"/>
      <c r="R5" s="117"/>
      <c r="S5" s="117"/>
      <c r="T5" s="117"/>
      <c r="U5" s="117"/>
      <c r="V5" s="117"/>
      <c r="W5" s="117"/>
      <c r="X5" s="117"/>
      <c r="Y5" s="117"/>
      <c r="Z5" s="117"/>
      <c r="AA5" s="117"/>
      <c r="AB5" s="117"/>
      <c r="AC5" s="117"/>
      <c r="AD5" s="117"/>
      <c r="AE5" s="117"/>
    </row>
    <row r="6" spans="1:31" ht="18.75" customHeight="1">
      <c r="A6" s="195"/>
      <c r="B6" s="194"/>
      <c r="C6" s="189"/>
      <c r="D6" s="194"/>
      <c r="E6" s="189"/>
      <c r="F6" s="194"/>
      <c r="G6" s="189"/>
      <c r="H6" s="246"/>
      <c r="I6" s="87"/>
      <c r="J6" s="122" t="s">
        <v>708</v>
      </c>
      <c r="K6" s="122"/>
      <c r="L6" s="122"/>
      <c r="M6" s="122"/>
      <c r="N6" s="122"/>
      <c r="O6" s="122"/>
      <c r="P6" s="122"/>
      <c r="Q6" s="122"/>
      <c r="R6" s="122"/>
      <c r="S6" s="122"/>
      <c r="T6" s="122"/>
      <c r="U6" s="122"/>
      <c r="V6" s="122"/>
      <c r="W6" s="122"/>
      <c r="X6" s="122"/>
      <c r="Y6" s="122"/>
      <c r="Z6" s="122"/>
      <c r="AA6" s="122"/>
      <c r="AB6" s="122"/>
      <c r="AC6" s="122"/>
      <c r="AD6" s="87"/>
      <c r="AE6" s="88"/>
    </row>
    <row r="7" spans="1:31">
      <c r="A7" s="190"/>
      <c r="B7" s="191"/>
      <c r="C7" s="248"/>
      <c r="D7" s="191"/>
      <c r="E7" s="272"/>
      <c r="F7" s="217" t="s">
        <v>716</v>
      </c>
      <c r="G7" s="217"/>
      <c r="H7" s="187" t="s">
        <v>717</v>
      </c>
      <c r="I7" s="249"/>
      <c r="J7" s="250"/>
      <c r="K7" s="251"/>
      <c r="L7" s="250"/>
      <c r="M7" s="251"/>
      <c r="N7" s="250"/>
      <c r="O7" s="251"/>
      <c r="P7" s="250"/>
      <c r="Q7" s="251"/>
      <c r="R7" s="187" t="s">
        <v>717</v>
      </c>
      <c r="S7" s="249"/>
      <c r="T7" s="250"/>
      <c r="U7" s="251"/>
      <c r="V7" s="250"/>
      <c r="W7" s="251"/>
      <c r="X7" s="250"/>
      <c r="Y7" s="251"/>
      <c r="Z7" s="221"/>
      <c r="AA7" s="251"/>
      <c r="AB7" s="250"/>
      <c r="AC7" s="251"/>
      <c r="AD7" s="250"/>
      <c r="AE7" s="251"/>
    </row>
    <row r="8" spans="1:31" ht="18.75" customHeight="1">
      <c r="A8" s="190" t="s">
        <v>709</v>
      </c>
      <c r="B8" s="191" t="s">
        <v>714</v>
      </c>
      <c r="C8" s="191"/>
      <c r="D8" s="191" t="s">
        <v>715</v>
      </c>
      <c r="E8" s="248"/>
      <c r="F8" s="204" t="s">
        <v>718</v>
      </c>
      <c r="G8" s="248"/>
      <c r="H8" s="204" t="s">
        <v>699</v>
      </c>
      <c r="I8" s="253"/>
      <c r="J8" s="204" t="s">
        <v>699</v>
      </c>
      <c r="K8" s="253"/>
      <c r="L8" s="254" t="s">
        <v>480</v>
      </c>
      <c r="M8" s="255"/>
      <c r="N8" s="204" t="s">
        <v>720</v>
      </c>
      <c r="O8" s="253"/>
      <c r="P8" s="204" t="s">
        <v>483</v>
      </c>
      <c r="Q8" s="253"/>
      <c r="R8" s="204" t="s">
        <v>721</v>
      </c>
      <c r="S8" s="253"/>
      <c r="T8" s="204" t="s">
        <v>721</v>
      </c>
      <c r="U8" s="253"/>
      <c r="V8" s="204" t="s">
        <v>445</v>
      </c>
      <c r="W8" s="253"/>
      <c r="X8" s="204" t="s">
        <v>463</v>
      </c>
      <c r="Y8" s="253"/>
      <c r="Z8" s="204" t="s">
        <v>468</v>
      </c>
      <c r="AA8" s="253"/>
      <c r="AB8" s="204" t="s">
        <v>722</v>
      </c>
      <c r="AC8" s="253"/>
      <c r="AD8" s="204" t="s">
        <v>470</v>
      </c>
      <c r="AE8" s="253"/>
    </row>
    <row r="9" spans="1:31" ht="18.75" customHeight="1">
      <c r="A9" s="268"/>
      <c r="B9" s="210" t="s">
        <v>736</v>
      </c>
      <c r="C9" s="269" t="s">
        <v>737</v>
      </c>
      <c r="D9" s="210" t="s">
        <v>736</v>
      </c>
      <c r="E9" s="269" t="s">
        <v>737</v>
      </c>
      <c r="F9" s="210" t="s">
        <v>736</v>
      </c>
      <c r="G9" s="269" t="s">
        <v>737</v>
      </c>
      <c r="H9" s="257" t="s">
        <v>736</v>
      </c>
      <c r="I9" s="258" t="s">
        <v>737</v>
      </c>
      <c r="J9" s="257" t="s">
        <v>736</v>
      </c>
      <c r="K9" s="258" t="s">
        <v>737</v>
      </c>
      <c r="L9" s="257" t="s">
        <v>736</v>
      </c>
      <c r="M9" s="259" t="s">
        <v>737</v>
      </c>
      <c r="N9" s="257" t="s">
        <v>736</v>
      </c>
      <c r="O9" s="259" t="s">
        <v>737</v>
      </c>
      <c r="P9" s="257" t="s">
        <v>736</v>
      </c>
      <c r="Q9" s="259" t="s">
        <v>737</v>
      </c>
      <c r="R9" s="257" t="s">
        <v>736</v>
      </c>
      <c r="S9" s="258" t="s">
        <v>737</v>
      </c>
      <c r="T9" s="257" t="s">
        <v>736</v>
      </c>
      <c r="U9" s="259" t="s">
        <v>737</v>
      </c>
      <c r="V9" s="257" t="s">
        <v>736</v>
      </c>
      <c r="W9" s="259" t="s">
        <v>737</v>
      </c>
      <c r="X9" s="257" t="s">
        <v>736</v>
      </c>
      <c r="Y9" s="259" t="s">
        <v>737</v>
      </c>
      <c r="Z9" s="257" t="s">
        <v>736</v>
      </c>
      <c r="AA9" s="259" t="s">
        <v>737</v>
      </c>
      <c r="AB9" s="257" t="s">
        <v>736</v>
      </c>
      <c r="AC9" s="259" t="s">
        <v>737</v>
      </c>
      <c r="AD9" s="257" t="s">
        <v>736</v>
      </c>
      <c r="AE9" s="259" t="s">
        <v>737</v>
      </c>
    </row>
    <row r="10" spans="1:31">
      <c r="A10" s="186"/>
      <c r="B10" s="187"/>
      <c r="C10" s="249"/>
      <c r="D10" s="187"/>
      <c r="E10" s="249"/>
      <c r="F10" s="187"/>
      <c r="G10" s="249"/>
      <c r="H10" s="260"/>
      <c r="I10" s="260"/>
      <c r="J10" s="187"/>
      <c r="K10" s="249"/>
      <c r="L10" s="187"/>
      <c r="M10" s="249"/>
      <c r="N10" s="187"/>
      <c r="O10" s="249"/>
      <c r="P10" s="187"/>
      <c r="Q10" s="249"/>
      <c r="R10" s="260"/>
      <c r="S10" s="260"/>
      <c r="T10" s="187"/>
      <c r="U10" s="249"/>
      <c r="V10" s="187"/>
      <c r="W10" s="249"/>
      <c r="X10" s="187"/>
      <c r="Y10" s="249"/>
      <c r="Z10" s="187"/>
      <c r="AA10" s="249"/>
      <c r="AB10" s="187"/>
      <c r="AC10" s="249"/>
      <c r="AD10" s="260"/>
      <c r="AE10" s="249"/>
    </row>
    <row r="11" spans="1:31" s="6" customFormat="1" ht="25.5" customHeight="1">
      <c r="A11" s="261">
        <f>+'31'!A11</f>
        <v>2005</v>
      </c>
      <c r="B11" s="207">
        <v>86102</v>
      </c>
      <c r="C11" s="262">
        <f>+B11/'7'!B11*1000</f>
        <v>5.2929568179753241</v>
      </c>
      <c r="D11" s="207">
        <v>9900</v>
      </c>
      <c r="E11" s="262">
        <f>+D11/'7'!C11*1000</f>
        <v>5.9541422787404645</v>
      </c>
      <c r="F11" s="207">
        <f t="shared" ref="F11:F16" si="0">+J11+L11+N11+P11+T11+V11+X11+Z11+AB11+AD11</f>
        <v>1181</v>
      </c>
      <c r="G11" s="262">
        <f>+F11/'7'!D11*1000</f>
        <v>4.8118842540153359</v>
      </c>
      <c r="H11" s="276">
        <f t="shared" ref="H11:H16" si="1">+J11+L11+N11+P11</f>
        <v>478</v>
      </c>
      <c r="I11" s="277">
        <f>+H11/'7'!E11*1000</f>
        <v>4.6902750385132421</v>
      </c>
      <c r="J11" s="207">
        <v>310</v>
      </c>
      <c r="K11" s="262">
        <f>+J11/'7'!F11*1000</f>
        <v>4.5802429006235039</v>
      </c>
      <c r="L11" s="207">
        <v>75</v>
      </c>
      <c r="M11" s="262">
        <f>+L11/'7'!G11*1000</f>
        <v>4.6963055729492797</v>
      </c>
      <c r="N11" s="207">
        <v>57</v>
      </c>
      <c r="O11" s="262">
        <f>+N11/'7'!H11*1000</f>
        <v>5.236083042439831</v>
      </c>
      <c r="P11" s="207">
        <v>36</v>
      </c>
      <c r="Q11" s="262">
        <f>+P11/'7'!I11*1000</f>
        <v>4.8813559322033893</v>
      </c>
      <c r="R11" s="208">
        <f t="shared" ref="R11:R16" si="2">+T11+V11+X11+Z11+AB11+AD11</f>
        <v>703</v>
      </c>
      <c r="S11" s="277">
        <f>+R11/'7'!J11*1000</f>
        <v>4.8982378885319919</v>
      </c>
      <c r="T11" s="207">
        <v>336</v>
      </c>
      <c r="U11" s="262">
        <f>+T11/'7'!K11*1000</f>
        <v>4.7316612919125207</v>
      </c>
      <c r="V11" s="207">
        <v>103</v>
      </c>
      <c r="W11" s="262">
        <f>+V11/'7'!L11*1000</f>
        <v>6.4629478571876771</v>
      </c>
      <c r="X11" s="207">
        <v>75</v>
      </c>
      <c r="Y11" s="262">
        <f>+X11/'7'!M11*1000</f>
        <v>5.4339950731778002</v>
      </c>
      <c r="Z11" s="207">
        <v>30</v>
      </c>
      <c r="AA11" s="262">
        <f>+Z11/'7'!N11*1000</f>
        <v>4.236091499576391</v>
      </c>
      <c r="AB11" s="207">
        <v>104</v>
      </c>
      <c r="AC11" s="262">
        <f>+AB11/'7'!O11*1000</f>
        <v>4.5516215151647774</v>
      </c>
      <c r="AD11" s="207">
        <v>55</v>
      </c>
      <c r="AE11" s="262">
        <f>+AD11/'7'!P11*1000</f>
        <v>4.2834890965732084</v>
      </c>
    </row>
    <row r="12" spans="1:31" s="6" customFormat="1" ht="25.5" customHeight="1">
      <c r="A12" s="261">
        <f>+'31'!A12</f>
        <v>2006</v>
      </c>
      <c r="B12" s="207">
        <v>85639</v>
      </c>
      <c r="C12" s="262">
        <f>+B12/'7'!B12*1000</f>
        <v>5.2115072689934694</v>
      </c>
      <c r="D12" s="207">
        <v>10148</v>
      </c>
      <c r="E12" s="262">
        <f>+D12/'7'!C12*1000</f>
        <v>6.0332757631517149</v>
      </c>
      <c r="F12" s="207">
        <f t="shared" si="0"/>
        <v>1347</v>
      </c>
      <c r="G12" s="262">
        <f>+F12/'7'!D12*1000</f>
        <v>5.4158591796199653</v>
      </c>
      <c r="H12" s="276">
        <f t="shared" si="1"/>
        <v>534</v>
      </c>
      <c r="I12" s="277">
        <f>+H12/'7'!E12*1000</f>
        <v>5.1586726561367922</v>
      </c>
      <c r="J12" s="207">
        <v>369</v>
      </c>
      <c r="K12" s="262">
        <f>+J12/'7'!F12*1000</f>
        <v>5.3552769070010449</v>
      </c>
      <c r="L12" s="207">
        <v>76</v>
      </c>
      <c r="M12" s="262">
        <f>+L12/'7'!G12*1000</f>
        <v>4.6878855169010611</v>
      </c>
      <c r="N12" s="207">
        <v>51</v>
      </c>
      <c r="O12" s="262">
        <f>+N12/'7'!H12*1000</f>
        <v>4.6686195532771873</v>
      </c>
      <c r="P12" s="207">
        <v>38</v>
      </c>
      <c r="Q12" s="262">
        <f>+P12/'7'!I12*1000</f>
        <v>5.0836120401337794</v>
      </c>
      <c r="R12" s="208">
        <f t="shared" si="2"/>
        <v>813</v>
      </c>
      <c r="S12" s="277">
        <f>+R12/'7'!J12*1000</f>
        <v>5.5992121157859218</v>
      </c>
      <c r="T12" s="207">
        <v>394</v>
      </c>
      <c r="U12" s="262">
        <f>+T12/'7'!K12*1000</f>
        <v>5.4663762365248276</v>
      </c>
      <c r="V12" s="207">
        <v>106</v>
      </c>
      <c r="W12" s="262">
        <f>+V12/'7'!L12*1000</f>
        <v>6.5671271916238148</v>
      </c>
      <c r="X12" s="207">
        <v>68</v>
      </c>
      <c r="Y12" s="262">
        <f>+X12/'7'!M12*1000</f>
        <v>4.8794489092996551</v>
      </c>
      <c r="Z12" s="207">
        <v>36</v>
      </c>
      <c r="AA12" s="262">
        <f>+Z12/'7'!N12*1000</f>
        <v>5.0363738108561833</v>
      </c>
      <c r="AB12" s="207">
        <v>143</v>
      </c>
      <c r="AC12" s="262">
        <f>+AB12/'7'!O12*1000</f>
        <v>6.2230732407850642</v>
      </c>
      <c r="AD12" s="207">
        <v>66</v>
      </c>
      <c r="AE12" s="262">
        <f>+AD12/'7'!P12*1000</f>
        <v>5.1091500232234095</v>
      </c>
    </row>
    <row r="13" spans="1:31" s="6" customFormat="1" ht="25.5" customHeight="1">
      <c r="A13" s="261">
        <f>+'31'!A13</f>
        <v>2007</v>
      </c>
      <c r="B13" s="207">
        <v>93000</v>
      </c>
      <c r="C13" s="262">
        <f>+B13/'7'!B13*1000</f>
        <v>5.60305972849621</v>
      </c>
      <c r="D13" s="207">
        <v>10912</v>
      </c>
      <c r="E13" s="262">
        <f>+D13/'7'!C13*1000</f>
        <v>6.4139451581826288</v>
      </c>
      <c r="F13" s="207">
        <f t="shared" si="0"/>
        <v>1457</v>
      </c>
      <c r="G13" s="262">
        <f>+F13/'7'!D13*1000</f>
        <v>5.7816083744037838</v>
      </c>
      <c r="H13" s="276">
        <f t="shared" si="1"/>
        <v>554</v>
      </c>
      <c r="I13" s="277">
        <f>+H13/'7'!E13*1000</f>
        <v>5.2690145801432333</v>
      </c>
      <c r="J13" s="207">
        <v>381</v>
      </c>
      <c r="K13" s="262">
        <f>+J13/'7'!F13*1000</f>
        <v>5.4330001283385858</v>
      </c>
      <c r="L13" s="207">
        <v>76</v>
      </c>
      <c r="M13" s="262">
        <f>+L13/'7'!G13*1000</f>
        <v>4.6152911884374817</v>
      </c>
      <c r="N13" s="207">
        <v>61</v>
      </c>
      <c r="O13" s="262">
        <f>+N13/'7'!H13*1000</f>
        <v>5.5621409683596248</v>
      </c>
      <c r="P13" s="207">
        <v>36</v>
      </c>
      <c r="Q13" s="262">
        <f>+P13/'7'!I13*1000</f>
        <v>4.7480875758375101</v>
      </c>
      <c r="R13" s="208">
        <f t="shared" si="2"/>
        <v>903</v>
      </c>
      <c r="S13" s="277">
        <f>+R13/'7'!J13*1000</f>
        <v>6.1485874590604848</v>
      </c>
      <c r="T13" s="207">
        <v>453</v>
      </c>
      <c r="U13" s="262">
        <f>+T13/'7'!K13*1000</f>
        <v>6.1919927828428492</v>
      </c>
      <c r="V13" s="207">
        <v>134</v>
      </c>
      <c r="W13" s="262">
        <f>+V13/'7'!L13*1000</f>
        <v>8.2007343941248472</v>
      </c>
      <c r="X13" s="207">
        <v>74</v>
      </c>
      <c r="Y13" s="262">
        <f>+X13/'7'!M13*1000</f>
        <v>5.2661542840876745</v>
      </c>
      <c r="Z13" s="207">
        <v>41</v>
      </c>
      <c r="AA13" s="262">
        <f>+Z13/'7'!N13*1000</f>
        <v>5.6786703601108037</v>
      </c>
      <c r="AB13" s="207">
        <v>127</v>
      </c>
      <c r="AC13" s="262">
        <f>+AB13/'7'!O13*1000</f>
        <v>5.4980735096757432</v>
      </c>
      <c r="AD13" s="207">
        <v>74</v>
      </c>
      <c r="AE13" s="262">
        <f>+AD13/'7'!P13*1000</f>
        <v>5.6953744323866697</v>
      </c>
    </row>
    <row r="14" spans="1:31" s="6" customFormat="1" ht="25.5" customHeight="1">
      <c r="A14" s="261">
        <f>+'31'!A14</f>
        <v>2008</v>
      </c>
      <c r="B14" s="207">
        <v>90168</v>
      </c>
      <c r="C14" s="262">
        <f>+B14/'7'!B14*1000</f>
        <v>5.3788386294722992</v>
      </c>
      <c r="D14" s="207">
        <v>10589</v>
      </c>
      <c r="E14" s="262">
        <f>+D14/'7'!C14*1000</f>
        <v>6.154291439903103</v>
      </c>
      <c r="F14" s="207">
        <f t="shared" si="0"/>
        <v>1347</v>
      </c>
      <c r="G14" s="262">
        <f>+F14/'7'!D14*1000</f>
        <v>5.2760217151183291</v>
      </c>
      <c r="H14" s="276">
        <f t="shared" si="1"/>
        <v>534</v>
      </c>
      <c r="I14" s="277">
        <f>+H14/'7'!E14*1000</f>
        <v>5.0016859615600771</v>
      </c>
      <c r="J14" s="207">
        <v>369</v>
      </c>
      <c r="K14" s="262">
        <f>+J14/'7'!F14*1000</f>
        <v>5.1717613421351381</v>
      </c>
      <c r="L14" s="207">
        <v>76</v>
      </c>
      <c r="M14" s="262">
        <f>+L14/'7'!G14*1000</f>
        <v>4.5446391197751597</v>
      </c>
      <c r="N14" s="207">
        <v>51</v>
      </c>
      <c r="O14" s="262">
        <f>+N14/'7'!H14*1000</f>
        <v>4.638893942150264</v>
      </c>
      <c r="P14" s="207">
        <v>38</v>
      </c>
      <c r="Q14" s="262">
        <f>+P14/'7'!I14*1000</f>
        <v>4.9363471031436736</v>
      </c>
      <c r="R14" s="208">
        <f t="shared" si="2"/>
        <v>813</v>
      </c>
      <c r="S14" s="277">
        <f>+R14/'7'!J14*1000</f>
        <v>5.4731994991315585</v>
      </c>
      <c r="T14" s="207">
        <v>394</v>
      </c>
      <c r="U14" s="262">
        <f>+T14/'7'!K14*1000</f>
        <v>5.3073265352856387</v>
      </c>
      <c r="V14" s="207">
        <v>106</v>
      </c>
      <c r="W14" s="262">
        <f>+V14/'7'!L14*1000</f>
        <v>6.408318723172723</v>
      </c>
      <c r="X14" s="207">
        <v>68</v>
      </c>
      <c r="Y14" s="262">
        <f>+X14/'7'!M14*1000</f>
        <v>4.7968397291196387</v>
      </c>
      <c r="Z14" s="207">
        <v>36</v>
      </c>
      <c r="AA14" s="262">
        <f>+Z14/'7'!N14*1000</f>
        <v>4.9369171695008234</v>
      </c>
      <c r="AB14" s="207">
        <v>143</v>
      </c>
      <c r="AC14" s="262">
        <f>+AB14/'7'!O14*1000</f>
        <v>6.1579536646283692</v>
      </c>
      <c r="AD14" s="207">
        <v>66</v>
      </c>
      <c r="AE14" s="262">
        <f>+AD14/'7'!P14*1000</f>
        <v>5.0481872418540608</v>
      </c>
    </row>
    <row r="15" spans="1:31" s="6" customFormat="1" ht="25.5" customHeight="1">
      <c r="A15" s="261">
        <f>+'31'!A15</f>
        <v>2009</v>
      </c>
      <c r="B15" s="207">
        <v>91965</v>
      </c>
      <c r="C15" s="262">
        <f>+B15/'7'!B15*1000</f>
        <v>5.432434870295265</v>
      </c>
      <c r="D15" s="207">
        <v>10793</v>
      </c>
      <c r="E15" s="262">
        <f>+D15/'7'!C15*1000</f>
        <v>6.203315638585738</v>
      </c>
      <c r="F15" s="207">
        <f t="shared" si="0"/>
        <v>1423</v>
      </c>
      <c r="G15" s="262">
        <f>+F15/'7'!D15*1000</f>
        <v>5.5032814717700607</v>
      </c>
      <c r="H15" s="276">
        <f t="shared" si="1"/>
        <v>567</v>
      </c>
      <c r="I15" s="277">
        <f>+H15/'7'!E15*1000</f>
        <v>5.2325581395348832</v>
      </c>
      <c r="J15" s="207">
        <v>410</v>
      </c>
      <c r="K15" s="262">
        <f>+J15/'7'!F15*1000</f>
        <v>5.6502625304907452</v>
      </c>
      <c r="L15" s="207">
        <v>67</v>
      </c>
      <c r="M15" s="262">
        <f>+L15/'7'!G15*1000</f>
        <v>3.9490746198278908</v>
      </c>
      <c r="N15" s="207">
        <v>57</v>
      </c>
      <c r="O15" s="262">
        <f>+N15/'7'!H15*1000</f>
        <v>5.1672559151482185</v>
      </c>
      <c r="P15" s="207">
        <v>33</v>
      </c>
      <c r="Q15" s="262">
        <f>+P15/'7'!I15*1000</f>
        <v>4.2307692307692308</v>
      </c>
      <c r="R15" s="208">
        <f t="shared" si="2"/>
        <v>856</v>
      </c>
      <c r="S15" s="277">
        <f>+R15/'7'!J15*1000</f>
        <v>5.698574690606006</v>
      </c>
      <c r="T15" s="207">
        <v>451</v>
      </c>
      <c r="U15" s="262">
        <f>+T15/'7'!K15*1000</f>
        <v>5.9892167538710783</v>
      </c>
      <c r="V15" s="207">
        <v>109</v>
      </c>
      <c r="W15" s="262">
        <f>+V15/'7'!L15*1000</f>
        <v>6.5094057927739621</v>
      </c>
      <c r="X15" s="207">
        <v>62</v>
      </c>
      <c r="Y15" s="262">
        <f>+X15/'7'!M15*1000</f>
        <v>4.329004329004329</v>
      </c>
      <c r="Z15" s="207">
        <v>37</v>
      </c>
      <c r="AA15" s="262">
        <f>+Z15/'7'!N15*1000</f>
        <v>5.0305914343983682</v>
      </c>
      <c r="AB15" s="207">
        <v>132</v>
      </c>
      <c r="AC15" s="262">
        <f>+AB15/'7'!O15*1000</f>
        <v>5.654073502955538</v>
      </c>
      <c r="AD15" s="207">
        <v>65</v>
      </c>
      <c r="AE15" s="262">
        <f>+AD15/'7'!P15*1000</f>
        <v>4.9455984174085064</v>
      </c>
    </row>
    <row r="16" spans="1:31" s="6" customFormat="1" ht="25.5" customHeight="1">
      <c r="A16" s="261">
        <f>+'31'!A16</f>
        <v>2010</v>
      </c>
      <c r="B16" s="207">
        <v>97930</v>
      </c>
      <c r="C16" s="262">
        <f>+B16/'7'!B16*1000</f>
        <v>5.7288202421045176</v>
      </c>
      <c r="D16" s="207">
        <v>11453</v>
      </c>
      <c r="E16" s="262">
        <f>+D16/'7'!C16*1000</f>
        <v>6.510467738423924</v>
      </c>
      <c r="F16" s="207">
        <f t="shared" si="0"/>
        <v>1469</v>
      </c>
      <c r="G16" s="262">
        <f>+F16/'7'!D16*1000</f>
        <v>5.6093109215460162</v>
      </c>
      <c r="H16" s="276">
        <f t="shared" si="1"/>
        <v>594</v>
      </c>
      <c r="I16" s="277">
        <f>+H16/'7'!E16*1000</f>
        <v>5.4004418543335362</v>
      </c>
      <c r="J16" s="207">
        <v>386</v>
      </c>
      <c r="K16" s="262">
        <f>+J16/'7'!F16*1000</f>
        <v>5.2305649281136084</v>
      </c>
      <c r="L16" s="207">
        <v>98</v>
      </c>
      <c r="M16" s="262">
        <f>+L16/'7'!G16*1000</f>
        <v>5.6917179695667324</v>
      </c>
      <c r="N16" s="207">
        <v>61</v>
      </c>
      <c r="O16" s="262">
        <f>+N16/'7'!H16*1000</f>
        <v>5.512380263871318</v>
      </c>
      <c r="P16" s="207">
        <v>49</v>
      </c>
      <c r="Q16" s="262">
        <f>+P16/'7'!I16*1000</f>
        <v>6.1946902654867255</v>
      </c>
      <c r="R16" s="208">
        <f t="shared" si="2"/>
        <v>875</v>
      </c>
      <c r="S16" s="277">
        <f>+R16/'7'!J16*1000</f>
        <v>5.7605582803910602</v>
      </c>
      <c r="T16" s="207">
        <v>464</v>
      </c>
      <c r="U16" s="262">
        <f>+T16/'7'!K16*1000</f>
        <v>6.0748887143231212</v>
      </c>
      <c r="V16" s="207">
        <v>110</v>
      </c>
      <c r="W16" s="262">
        <f>+V16/'7'!L16*1000</f>
        <v>6.4873790988440669</v>
      </c>
      <c r="X16" s="207">
        <v>95</v>
      </c>
      <c r="Y16" s="262">
        <f>+X16/'7'!M16*1000</f>
        <v>6.5807702964810204</v>
      </c>
      <c r="Z16" s="207">
        <v>26</v>
      </c>
      <c r="AA16" s="262">
        <f>+Z16/'7'!N16*1000</f>
        <v>3.4988561431839589</v>
      </c>
      <c r="AB16" s="207">
        <v>114</v>
      </c>
      <c r="AC16" s="262">
        <f>+AB16/'7'!O16*1000</f>
        <v>4.8566438035189368</v>
      </c>
      <c r="AD16" s="207">
        <v>66</v>
      </c>
      <c r="AE16" s="262">
        <f>+AD16/'7'!P16*1000</f>
        <v>4.9928133746879499</v>
      </c>
    </row>
    <row r="17" spans="1:31" s="6" customFormat="1" ht="25.5" customHeight="1">
      <c r="A17" s="261">
        <f>+'31'!A17</f>
        <v>2011</v>
      </c>
      <c r="B17" s="207">
        <v>94985</v>
      </c>
      <c r="C17" s="262">
        <f>+B17/'7'!B17*1000</f>
        <v>5.5068716319437394</v>
      </c>
      <c r="D17" s="207">
        <v>11171</v>
      </c>
      <c r="E17" s="262">
        <f>+D17/'7'!C17*1000</f>
        <v>6.2847755517673995</v>
      </c>
      <c r="F17" s="207">
        <f>+J17+L17+N17+P17+T17+V17+X17+Z17+AB17+AD17</f>
        <v>1463</v>
      </c>
      <c r="G17" s="262">
        <f>+F17/'7'!D17*1000</f>
        <v>5.5227971098745954</v>
      </c>
      <c r="H17" s="276">
        <f>+J17+L17+N17+P17</f>
        <v>607</v>
      </c>
      <c r="I17" s="277">
        <f>+H17/'7'!E17*1000</f>
        <v>5.4446786563214786</v>
      </c>
      <c r="J17" s="207">
        <v>412</v>
      </c>
      <c r="K17" s="262">
        <f>+J17/'7'!F17*1000</f>
        <v>5.4963379981056306</v>
      </c>
      <c r="L17" s="207">
        <v>92</v>
      </c>
      <c r="M17" s="262">
        <f>+L17/'7'!G17*1000</f>
        <v>5.2731128560784084</v>
      </c>
      <c r="N17" s="207">
        <v>63</v>
      </c>
      <c r="O17" s="262">
        <f>+N17/'7'!H17*1000</f>
        <v>5.686947102365048</v>
      </c>
      <c r="P17" s="207">
        <v>40</v>
      </c>
      <c r="Q17" s="262">
        <f>+P17/'7'!I17*1000</f>
        <v>4.9993750781152357</v>
      </c>
      <c r="R17" s="208">
        <f>+T17+V17+X17+Z17+AB17+AD17</f>
        <v>856</v>
      </c>
      <c r="S17" s="277">
        <f>+R17/'7'!J17*1000</f>
        <v>5.5795641943200565</v>
      </c>
      <c r="T17" s="207">
        <v>391</v>
      </c>
      <c r="U17" s="262">
        <f>+T17/'7'!K17*1000</f>
        <v>5.0520712199912134</v>
      </c>
      <c r="V17" s="207">
        <v>126</v>
      </c>
      <c r="W17" s="262">
        <f>+V17/'7'!L17*1000</f>
        <v>7.3482241791567038</v>
      </c>
      <c r="X17" s="207">
        <v>80</v>
      </c>
      <c r="Y17" s="262">
        <f>+X17/'7'!M17*1000</f>
        <v>5.5005500550055011</v>
      </c>
      <c r="Z17" s="207">
        <v>35</v>
      </c>
      <c r="AA17" s="262">
        <f>+Z17/'7'!N17*1000</f>
        <v>4.6710262912051252</v>
      </c>
      <c r="AB17" s="207">
        <v>151</v>
      </c>
      <c r="AC17" s="262">
        <f>+AB17/'7'!O17*1000</f>
        <v>6.4094401290377352</v>
      </c>
      <c r="AD17" s="207">
        <v>73</v>
      </c>
      <c r="AE17" s="262">
        <f>+AD17/'7'!P17*1000</f>
        <v>5.4969879518072284</v>
      </c>
    </row>
    <row r="18" spans="1:31" s="6" customFormat="1" ht="25.5" customHeight="1">
      <c r="A18" s="261">
        <f>+'31'!A18</f>
        <v>2012</v>
      </c>
      <c r="B18" s="207">
        <v>98711</v>
      </c>
      <c r="C18" s="262">
        <f>+B18/'7'!B18*1000</f>
        <v>5.6721886289601056</v>
      </c>
      <c r="D18" s="207">
        <v>11677</v>
      </c>
      <c r="E18" s="262">
        <f>+D18/'7'!C18*1000</f>
        <v>6.5025212096237537</v>
      </c>
      <c r="F18" s="207">
        <f>+J18+L18+N18+P18+T18+V18+X18+Z18+AB18+AD18</f>
        <v>1489</v>
      </c>
      <c r="G18" s="262">
        <f>+F18/'7'!D18*1000</f>
        <v>5.5577950968974887</v>
      </c>
      <c r="H18" s="276">
        <f>+J18+L18+N18+P18</f>
        <v>569</v>
      </c>
      <c r="I18" s="277">
        <f>+H18/'7'!E18*1000</f>
        <v>5.0362004567099188</v>
      </c>
      <c r="J18" s="207">
        <v>385</v>
      </c>
      <c r="K18" s="262">
        <f>+J18/'7'!F18*1000</f>
        <v>5.0571391041639302</v>
      </c>
      <c r="L18" s="207">
        <v>84</v>
      </c>
      <c r="M18" s="262">
        <f>+L18/'7'!G18*1000</f>
        <v>4.7519375459636821</v>
      </c>
      <c r="N18" s="207">
        <v>55</v>
      </c>
      <c r="O18" s="262">
        <f>+N18/'7'!H18*1000</f>
        <v>4.9589757461004416</v>
      </c>
      <c r="P18" s="207">
        <v>45</v>
      </c>
      <c r="Q18" s="262">
        <f>+P18/'7'!I18*1000</f>
        <v>5.5665512122711531</v>
      </c>
      <c r="R18" s="208">
        <f>+T18+V18+X18+Z18+AB18+AD18</f>
        <v>920</v>
      </c>
      <c r="S18" s="277">
        <f>+R18/'7'!J18*1000</f>
        <v>5.9381656231846645</v>
      </c>
      <c r="T18" s="207">
        <v>456</v>
      </c>
      <c r="U18" s="262">
        <f>+T18/'7'!K18*1000</f>
        <v>5.8142500127505476</v>
      </c>
      <c r="V18" s="207">
        <v>118</v>
      </c>
      <c r="W18" s="262">
        <f>+V18/'7'!L18*1000</f>
        <v>6.8066451315182279</v>
      </c>
      <c r="X18" s="207">
        <v>88</v>
      </c>
      <c r="Y18" s="262">
        <f>+X18/'7'!M18*1000</f>
        <v>6.0060060060060056</v>
      </c>
      <c r="Z18" s="207">
        <v>45</v>
      </c>
      <c r="AA18" s="262">
        <f>+Z18/'7'!N18*1000</f>
        <v>5.9555320275277932</v>
      </c>
      <c r="AB18" s="207">
        <v>138</v>
      </c>
      <c r="AC18" s="262">
        <f>+AB18/'7'!O18*1000</f>
        <v>5.8380573652593277</v>
      </c>
      <c r="AD18" s="207">
        <v>75</v>
      </c>
      <c r="AE18" s="262">
        <f>+AD18/'7'!P18*1000</f>
        <v>5.6306306306306304</v>
      </c>
    </row>
    <row r="19" spans="1:31" s="6" customFormat="1" ht="25.5" customHeight="1">
      <c r="A19" s="261">
        <f>+'31'!A19</f>
        <v>2013</v>
      </c>
      <c r="B19" s="207"/>
      <c r="C19" s="262"/>
      <c r="D19" s="207"/>
      <c r="E19" s="267"/>
      <c r="F19" s="207">
        <f>+J19+L19+N19+P19+T19+V19+X19+Z19+AB19+AD19</f>
        <v>1460</v>
      </c>
      <c r="G19" s="262">
        <f>+F19/'7'!D19*1000</f>
        <v>5.3885077155310821</v>
      </c>
      <c r="H19" s="276">
        <f>+J19+L19+N19+P19</f>
        <v>536</v>
      </c>
      <c r="I19" s="277">
        <f>+H19/'7'!E19*1000</f>
        <v>4.6813862493012852</v>
      </c>
      <c r="J19" s="207">
        <v>345</v>
      </c>
      <c r="K19" s="262">
        <f>+J19/'7'!F19*1000</f>
        <v>4.4628419895220226</v>
      </c>
      <c r="L19" s="207">
        <v>92</v>
      </c>
      <c r="M19" s="262">
        <f>+L19/'7'!G19*1000</f>
        <v>5.1382295448198834</v>
      </c>
      <c r="N19" s="207">
        <v>53</v>
      </c>
      <c r="O19" s="262">
        <f>+N19/'7'!H19*1000</f>
        <v>4.7717655532547036</v>
      </c>
      <c r="P19" s="207">
        <v>46</v>
      </c>
      <c r="Q19" s="262">
        <f>+P19/'7'!I19*1000</f>
        <v>5.6241594326934834</v>
      </c>
      <c r="R19" s="208">
        <f>+T19+V19+X19+Z19+AB19+AD19</f>
        <v>924</v>
      </c>
      <c r="S19" s="277">
        <f>+R19/'7'!J19*1000</f>
        <v>5.9060025183603813</v>
      </c>
      <c r="T19" s="207">
        <v>460</v>
      </c>
      <c r="U19" s="262">
        <f>+T19/'7'!K19*1000</f>
        <v>5.7895134291539758</v>
      </c>
      <c r="V19" s="207">
        <v>121</v>
      </c>
      <c r="W19" s="262">
        <f>+V19/'7'!L19*1000</f>
        <v>6.9044222539229674</v>
      </c>
      <c r="X19" s="207">
        <v>75</v>
      </c>
      <c r="Y19" s="262">
        <f>+X19/'7'!M19*1000</f>
        <v>5.0837117874330646</v>
      </c>
      <c r="Z19" s="207">
        <v>34</v>
      </c>
      <c r="AA19" s="262">
        <f>+Z19/'7'!N19*1000</f>
        <v>4.4636996192726794</v>
      </c>
      <c r="AB19" s="207">
        <v>152</v>
      </c>
      <c r="AC19" s="262">
        <f>+AB19/'7'!O19*1000</f>
        <v>6.4059339177343224</v>
      </c>
      <c r="AD19" s="207">
        <v>82</v>
      </c>
      <c r="AE19" s="262">
        <f>+AD19/'7'!P19*1000</f>
        <v>6.1312995364139375</v>
      </c>
    </row>
    <row r="20" spans="1:31" s="6" customFormat="1" ht="25.5" customHeight="1">
      <c r="A20" s="261">
        <f>+'31'!A20</f>
        <v>2014</v>
      </c>
      <c r="B20" s="207"/>
      <c r="C20" s="262"/>
      <c r="D20" s="207"/>
      <c r="E20" s="267"/>
      <c r="F20" s="207">
        <f>+J20+L20+N20+P20+T20+V20+X20+Z20+AB20+AD20</f>
        <v>1706</v>
      </c>
      <c r="G20" s="262">
        <f>+F20/'7'!D20*1000</f>
        <v>6.2270046136775097</v>
      </c>
      <c r="H20" s="276">
        <f>+J20+L20+N20+P20</f>
        <v>640</v>
      </c>
      <c r="I20" s="277">
        <f>+H20/'7'!E20*1000</f>
        <v>5.5173365058018247</v>
      </c>
      <c r="J20" s="207">
        <f>+'35'!D21</f>
        <v>407</v>
      </c>
      <c r="K20" s="262">
        <f>+J20/'7'!F20*1000</f>
        <v>5.1864972665757652</v>
      </c>
      <c r="L20" s="207">
        <f>+'35'!E21</f>
        <v>108</v>
      </c>
      <c r="M20" s="262">
        <f>+L20/'7'!G20*1000</f>
        <v>5.9533653051099718</v>
      </c>
      <c r="N20" s="207">
        <f>+'35'!F21</f>
        <v>70</v>
      </c>
      <c r="O20" s="262">
        <f>+N20/'7'!H20*1000</f>
        <v>6.2994960403167752</v>
      </c>
      <c r="P20" s="207">
        <f>+'35'!G21</f>
        <v>55</v>
      </c>
      <c r="Q20" s="262">
        <f>+P20/'7'!I20*1000</f>
        <v>6.6489361702127656</v>
      </c>
      <c r="R20" s="208">
        <f>+T20+V20+X20+Z20+AB20+AD20</f>
        <v>1066</v>
      </c>
      <c r="S20" s="277">
        <f>+R20/'7'!J20*1000</f>
        <v>6.7481167310248775</v>
      </c>
      <c r="T20" s="207">
        <f>+'35'!I21</f>
        <v>542</v>
      </c>
      <c r="U20" s="262">
        <f>+T20/'7'!K20*1000</f>
        <v>6.7346761266914354</v>
      </c>
      <c r="V20" s="207">
        <f>+'35'!J21</f>
        <v>122</v>
      </c>
      <c r="W20" s="262">
        <f>+V20/'7'!L20*1000</f>
        <v>6.8864303454504405</v>
      </c>
      <c r="X20" s="207">
        <f>+'35'!K21</f>
        <v>104</v>
      </c>
      <c r="Y20" s="262">
        <f>+X20/'7'!M20*1000</f>
        <v>6.9967707212055972</v>
      </c>
      <c r="Z20" s="207">
        <f>+'35'!L21</f>
        <v>51</v>
      </c>
      <c r="AA20" s="262">
        <f>+Z20/'7'!N20*1000</f>
        <v>6.6388961208018742</v>
      </c>
      <c r="AB20" s="207">
        <f>+'35'!M21</f>
        <v>170</v>
      </c>
      <c r="AC20" s="262">
        <f>+AB20/'7'!O20*1000</f>
        <v>7.1398572028559437</v>
      </c>
      <c r="AD20" s="207">
        <f>+'35'!N21</f>
        <v>77</v>
      </c>
      <c r="AE20" s="262">
        <f>+AD20/'7'!P20*1000</f>
        <v>5.7381324986958786</v>
      </c>
    </row>
    <row r="21" spans="1:31">
      <c r="A21" s="268"/>
      <c r="B21" s="210"/>
      <c r="C21" s="269"/>
      <c r="D21" s="210"/>
      <c r="E21" s="269"/>
      <c r="F21" s="216"/>
      <c r="G21" s="269"/>
      <c r="H21" s="270"/>
      <c r="I21" s="270"/>
      <c r="J21" s="210"/>
      <c r="K21" s="269"/>
      <c r="L21" s="210"/>
      <c r="M21" s="269"/>
      <c r="N21" s="210"/>
      <c r="O21" s="269"/>
      <c r="P21" s="210"/>
      <c r="Q21" s="269"/>
      <c r="R21" s="270"/>
      <c r="S21" s="270"/>
      <c r="T21" s="210"/>
      <c r="U21" s="269"/>
      <c r="V21" s="210"/>
      <c r="W21" s="269"/>
      <c r="X21" s="210"/>
      <c r="Y21" s="269"/>
      <c r="Z21" s="210"/>
      <c r="AA21" s="269"/>
      <c r="AB21" s="210"/>
      <c r="AC21" s="269"/>
      <c r="AD21" s="270"/>
      <c r="AE21" s="269"/>
    </row>
    <row r="22" spans="1:31">
      <c r="A22" s="217"/>
      <c r="B22" s="217"/>
      <c r="C22" s="217"/>
      <c r="D22" s="217"/>
      <c r="E22" s="217"/>
      <c r="F22" s="217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</row>
    <row r="23" spans="1:31">
      <c r="A23" s="217"/>
      <c r="B23" s="221" t="str">
        <f>+'27'!B23</f>
        <v>AÑO   2014  :   DATOS POR OCURRENCIA   (Provisorios)</v>
      </c>
      <c r="C23" s="271"/>
      <c r="D23" s="271"/>
      <c r="E23" s="271"/>
      <c r="F23" s="271"/>
      <c r="G23" s="172"/>
      <c r="H23" s="172"/>
      <c r="I23" s="172"/>
      <c r="J23" s="172"/>
      <c r="K23" s="172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</row>
    <row r="24" spans="1:31">
      <c r="A24" s="217"/>
      <c r="B24" s="217"/>
      <c r="C24" s="221" t="s">
        <v>753</v>
      </c>
      <c r="D24" s="221"/>
      <c r="E24" s="217"/>
      <c r="F24" s="217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</row>
    <row r="25" spans="1:31">
      <c r="A25" s="217"/>
      <c r="B25" s="217"/>
      <c r="C25" s="217"/>
      <c r="D25" s="217"/>
      <c r="E25" s="217"/>
      <c r="F25" s="217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</row>
    <row r="26" spans="1:31">
      <c r="A26" s="221"/>
      <c r="B26" s="221"/>
      <c r="C26" s="221"/>
      <c r="D26" s="221"/>
      <c r="E26" s="221"/>
      <c r="F26" s="221"/>
    </row>
    <row r="27" spans="1:31">
      <c r="A27" s="221"/>
      <c r="B27" s="221"/>
      <c r="C27" s="221"/>
      <c r="D27" s="221"/>
      <c r="E27" s="221"/>
      <c r="F27" s="221"/>
    </row>
    <row r="28" spans="1:31">
      <c r="A28" s="221"/>
      <c r="B28" s="221"/>
      <c r="C28" s="221"/>
      <c r="D28" s="221"/>
      <c r="E28" s="221"/>
      <c r="F28" s="221"/>
    </row>
    <row r="29" spans="1:31">
      <c r="A29" s="221"/>
      <c r="B29" s="221"/>
      <c r="C29" s="221"/>
      <c r="D29" s="221"/>
      <c r="E29" s="221"/>
      <c r="F29" s="221"/>
    </row>
  </sheetData>
  <phoneticPr fontId="19" type="noConversion"/>
  <pageMargins left="0.98425196850393704" right="0.59055118110236227" top="1.5748031496062993" bottom="0.59055118110236227" header="0.51181102362204722" footer="0.51181102362204722"/>
  <pageSetup paperSize="5" scale="90" orientation="landscape" horizontalDpi="300" verticalDpi="300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78"/>
  <sheetViews>
    <sheetView topLeftCell="A75" zoomScale="75" workbookViewId="0">
      <selection activeCell="G51" sqref="G51:M51"/>
    </sheetView>
  </sheetViews>
  <sheetFormatPr baseColWidth="10" defaultRowHeight="12.75"/>
  <cols>
    <col min="1" max="1" width="9" customWidth="1"/>
    <col min="2" max="2" width="27.85546875" customWidth="1"/>
    <col min="3" max="3" width="9.85546875" customWidth="1"/>
    <col min="4" max="4" width="9.7109375" customWidth="1"/>
    <col min="5" max="5" width="9.28515625" customWidth="1"/>
    <col min="6" max="6" width="10" customWidth="1"/>
    <col min="7" max="7" width="10.28515625" customWidth="1"/>
    <col min="8" max="8" width="10" customWidth="1"/>
    <col min="9" max="10" width="9.7109375" customWidth="1"/>
    <col min="11" max="11" width="10" customWidth="1"/>
    <col min="12" max="12" width="9" customWidth="1"/>
    <col min="13" max="13" width="8.5703125" customWidth="1"/>
    <col min="14" max="14" width="9.140625" customWidth="1"/>
    <col min="15" max="15" width="10.140625" customWidth="1"/>
    <col min="16" max="16" width="8.42578125" customWidth="1"/>
    <col min="17" max="17" width="8.7109375" customWidth="1"/>
    <col min="18" max="18" width="9.140625" customWidth="1"/>
  </cols>
  <sheetData>
    <row r="1" spans="1:16">
      <c r="A1" s="118" t="s">
        <v>754</v>
      </c>
      <c r="B1" s="118"/>
      <c r="C1" s="185"/>
      <c r="D1" s="185"/>
      <c r="E1" s="185"/>
      <c r="F1" s="185"/>
      <c r="G1" s="185"/>
      <c r="H1" s="1"/>
      <c r="I1" s="1"/>
      <c r="J1" s="1"/>
      <c r="K1" s="1"/>
      <c r="L1" s="1"/>
      <c r="M1" s="1"/>
      <c r="N1" s="1"/>
    </row>
    <row r="2" spans="1:16">
      <c r="A2" s="118"/>
      <c r="B2" s="118"/>
      <c r="C2" s="185"/>
      <c r="D2" s="185"/>
      <c r="E2" s="185"/>
      <c r="F2" s="185"/>
      <c r="G2" s="185"/>
      <c r="H2" s="1"/>
      <c r="I2" s="1"/>
      <c r="J2" s="1"/>
      <c r="K2" s="1"/>
      <c r="L2" s="1"/>
      <c r="M2" s="1"/>
      <c r="N2" s="1"/>
    </row>
    <row r="3" spans="1:16">
      <c r="A3" s="118" t="s">
        <v>1437</v>
      </c>
      <c r="B3" s="118"/>
      <c r="C3" s="185"/>
      <c r="D3" s="185"/>
      <c r="E3" s="185"/>
      <c r="F3" s="185"/>
      <c r="G3" s="185"/>
      <c r="H3" s="1"/>
      <c r="I3" s="1"/>
      <c r="J3" s="1"/>
      <c r="K3" s="1"/>
      <c r="L3" s="1"/>
      <c r="M3" s="1"/>
      <c r="N3" s="1"/>
    </row>
    <row r="4" spans="1:16">
      <c r="A4" s="118" t="s">
        <v>755</v>
      </c>
      <c r="B4" s="118"/>
      <c r="C4" s="185"/>
      <c r="D4" s="185"/>
      <c r="E4" s="185"/>
      <c r="F4" s="185"/>
      <c r="G4" s="185"/>
      <c r="H4" s="1"/>
      <c r="I4" s="1"/>
      <c r="J4" s="1"/>
      <c r="K4" s="1"/>
      <c r="L4" s="1"/>
      <c r="M4" s="1"/>
      <c r="N4" s="1"/>
    </row>
    <row r="5" spans="1:16">
      <c r="A5" s="293"/>
    </row>
    <row r="6" spans="1:16">
      <c r="A6" s="293"/>
    </row>
    <row r="7" spans="1:16" ht="18.75" customHeight="1">
      <c r="A7" s="294" t="s">
        <v>756</v>
      </c>
      <c r="B7" s="65"/>
      <c r="C7" s="295"/>
      <c r="D7" s="296" t="s">
        <v>757</v>
      </c>
      <c r="E7" s="296"/>
      <c r="F7" s="296"/>
      <c r="G7" s="296"/>
      <c r="H7" s="296"/>
      <c r="I7" s="296"/>
      <c r="J7" s="296"/>
      <c r="K7" s="296"/>
      <c r="L7" s="296"/>
      <c r="M7" s="296"/>
      <c r="N7" s="296"/>
      <c r="O7" s="296"/>
      <c r="P7" s="297"/>
    </row>
    <row r="8" spans="1:16" ht="23.25" customHeight="1">
      <c r="A8" s="298" t="s">
        <v>758</v>
      </c>
      <c r="B8" s="91" t="s">
        <v>759</v>
      </c>
      <c r="C8" s="299" t="s">
        <v>760</v>
      </c>
      <c r="D8" s="300" t="s">
        <v>699</v>
      </c>
      <c r="E8" s="301" t="s">
        <v>761</v>
      </c>
      <c r="F8" s="301" t="s">
        <v>762</v>
      </c>
      <c r="G8" s="301" t="s">
        <v>483</v>
      </c>
      <c r="H8" s="299" t="s">
        <v>763</v>
      </c>
      <c r="I8" s="301" t="s">
        <v>764</v>
      </c>
      <c r="J8" s="301" t="s">
        <v>445</v>
      </c>
      <c r="K8" s="301" t="s">
        <v>463</v>
      </c>
      <c r="L8" s="301" t="s">
        <v>468</v>
      </c>
      <c r="M8" s="301" t="s">
        <v>765</v>
      </c>
      <c r="N8" s="301" t="s">
        <v>470</v>
      </c>
      <c r="O8" s="301" t="s">
        <v>766</v>
      </c>
      <c r="P8" s="302" t="s">
        <v>571</v>
      </c>
    </row>
    <row r="9" spans="1:16" s="6" customFormat="1" ht="26.25" customHeight="1">
      <c r="A9" s="252" t="s">
        <v>767</v>
      </c>
      <c r="B9" s="303" t="s">
        <v>768</v>
      </c>
      <c r="C9" s="304">
        <f>SUM(D9:G9)</f>
        <v>189</v>
      </c>
      <c r="D9" s="305">
        <v>120</v>
      </c>
      <c r="E9" s="305">
        <v>29</v>
      </c>
      <c r="F9" s="305">
        <v>26</v>
      </c>
      <c r="G9" s="305">
        <v>14</v>
      </c>
      <c r="H9" s="304">
        <f>SUM(I9:N9)</f>
        <v>301</v>
      </c>
      <c r="I9" s="305">
        <v>155</v>
      </c>
      <c r="J9" s="305">
        <v>26</v>
      </c>
      <c r="K9" s="305">
        <v>31</v>
      </c>
      <c r="L9" s="305">
        <v>19</v>
      </c>
      <c r="M9" s="305">
        <v>49</v>
      </c>
      <c r="N9" s="305">
        <v>21</v>
      </c>
      <c r="O9" s="305"/>
      <c r="P9" s="101">
        <f>+O9+H9+C9</f>
        <v>490</v>
      </c>
    </row>
    <row r="10" spans="1:16" s="6" customFormat="1" ht="26.25" customHeight="1">
      <c r="A10" s="252" t="s">
        <v>769</v>
      </c>
      <c r="B10" s="303" t="s">
        <v>770</v>
      </c>
      <c r="C10" s="304">
        <f t="shared" ref="C10:C17" si="0">SUM(D10:G10)</f>
        <v>164</v>
      </c>
      <c r="D10" s="305">
        <v>107</v>
      </c>
      <c r="E10" s="305">
        <v>21</v>
      </c>
      <c r="F10" s="305">
        <v>16</v>
      </c>
      <c r="G10" s="305">
        <v>20</v>
      </c>
      <c r="H10" s="304">
        <f t="shared" ref="H10:H17" si="1">SUM(I10:N10)</f>
        <v>240</v>
      </c>
      <c r="I10" s="305">
        <v>118</v>
      </c>
      <c r="J10" s="305">
        <v>25</v>
      </c>
      <c r="K10" s="305">
        <v>29</v>
      </c>
      <c r="L10" s="305">
        <v>16</v>
      </c>
      <c r="M10" s="305">
        <v>32</v>
      </c>
      <c r="N10" s="305">
        <v>20</v>
      </c>
      <c r="O10" s="305"/>
      <c r="P10" s="101">
        <f t="shared" ref="P10:P17" si="2">+O10+H10+C10</f>
        <v>404</v>
      </c>
    </row>
    <row r="11" spans="1:16" s="6" customFormat="1" ht="26.25" customHeight="1">
      <c r="A11" s="252" t="s">
        <v>771</v>
      </c>
      <c r="B11" s="303" t="s">
        <v>772</v>
      </c>
      <c r="C11" s="304">
        <f t="shared" si="0"/>
        <v>58</v>
      </c>
      <c r="D11" s="305">
        <v>42</v>
      </c>
      <c r="E11" s="305">
        <v>10</v>
      </c>
      <c r="F11" s="305">
        <v>4</v>
      </c>
      <c r="G11" s="305">
        <v>2</v>
      </c>
      <c r="H11" s="304">
        <f t="shared" si="1"/>
        <v>109</v>
      </c>
      <c r="I11" s="305">
        <v>47</v>
      </c>
      <c r="J11" s="305">
        <v>18</v>
      </c>
      <c r="K11" s="305">
        <v>7</v>
      </c>
      <c r="L11" s="305">
        <v>4</v>
      </c>
      <c r="M11" s="305">
        <v>23</v>
      </c>
      <c r="N11" s="305">
        <v>10</v>
      </c>
      <c r="O11" s="305"/>
      <c r="P11" s="101">
        <f t="shared" si="2"/>
        <v>167</v>
      </c>
    </row>
    <row r="12" spans="1:16" s="6" customFormat="1" ht="26.25" customHeight="1">
      <c r="A12" s="252" t="s">
        <v>788</v>
      </c>
      <c r="B12" s="303" t="s">
        <v>789</v>
      </c>
      <c r="C12" s="304">
        <f t="shared" si="0"/>
        <v>34</v>
      </c>
      <c r="D12" s="305">
        <v>18</v>
      </c>
      <c r="E12" s="305">
        <v>4</v>
      </c>
      <c r="F12" s="305">
        <v>7</v>
      </c>
      <c r="G12" s="305">
        <v>5</v>
      </c>
      <c r="H12" s="304">
        <f t="shared" si="1"/>
        <v>89</v>
      </c>
      <c r="I12" s="305">
        <v>54</v>
      </c>
      <c r="J12" s="305">
        <v>11</v>
      </c>
      <c r="K12" s="305">
        <v>2</v>
      </c>
      <c r="L12" s="305">
        <v>1</v>
      </c>
      <c r="M12" s="305">
        <v>16</v>
      </c>
      <c r="N12" s="305">
        <v>5</v>
      </c>
      <c r="O12" s="305"/>
      <c r="P12" s="101">
        <f t="shared" si="2"/>
        <v>123</v>
      </c>
    </row>
    <row r="13" spans="1:16" s="6" customFormat="1" ht="26.25" customHeight="1">
      <c r="A13" s="252" t="s">
        <v>790</v>
      </c>
      <c r="B13" s="303" t="s">
        <v>791</v>
      </c>
      <c r="C13" s="304">
        <f t="shared" si="0"/>
        <v>37</v>
      </c>
      <c r="D13" s="305">
        <v>26</v>
      </c>
      <c r="E13" s="305">
        <v>4</v>
      </c>
      <c r="F13" s="305">
        <v>3</v>
      </c>
      <c r="G13" s="305">
        <v>4</v>
      </c>
      <c r="H13" s="304">
        <f t="shared" si="1"/>
        <v>72</v>
      </c>
      <c r="I13" s="305">
        <v>38</v>
      </c>
      <c r="J13" s="305">
        <v>10</v>
      </c>
      <c r="K13" s="305">
        <v>4</v>
      </c>
      <c r="L13" s="305">
        <v>1</v>
      </c>
      <c r="M13" s="305">
        <v>11</v>
      </c>
      <c r="N13" s="305">
        <v>8</v>
      </c>
      <c r="O13" s="305"/>
      <c r="P13" s="101">
        <f t="shared" si="2"/>
        <v>109</v>
      </c>
    </row>
    <row r="14" spans="1:16" s="6" customFormat="1" ht="26.25" customHeight="1">
      <c r="A14" s="252" t="s">
        <v>792</v>
      </c>
      <c r="B14" s="303" t="s">
        <v>793</v>
      </c>
      <c r="C14" s="304">
        <f>SUM(D14:G14)</f>
        <v>26</v>
      </c>
      <c r="D14" s="305">
        <v>16</v>
      </c>
      <c r="E14" s="305">
        <v>8</v>
      </c>
      <c r="F14" s="305">
        <v>1</v>
      </c>
      <c r="G14" s="305">
        <v>1</v>
      </c>
      <c r="H14" s="304">
        <f>SUM(I14:N14)</f>
        <v>48</v>
      </c>
      <c r="I14" s="305">
        <v>25</v>
      </c>
      <c r="J14" s="305">
        <v>8</v>
      </c>
      <c r="K14" s="305">
        <v>8</v>
      </c>
      <c r="L14" s="305">
        <v>1</v>
      </c>
      <c r="M14" s="305">
        <v>5</v>
      </c>
      <c r="N14" s="305">
        <v>1</v>
      </c>
      <c r="O14" s="305"/>
      <c r="P14" s="101">
        <f>+O14+H14+C14</f>
        <v>74</v>
      </c>
    </row>
    <row r="15" spans="1:16" s="6" customFormat="1" ht="26.25" customHeight="1">
      <c r="A15" s="252" t="s">
        <v>794</v>
      </c>
      <c r="B15" s="303" t="s">
        <v>795</v>
      </c>
      <c r="C15" s="304">
        <f t="shared" si="0"/>
        <v>12</v>
      </c>
      <c r="D15" s="305">
        <v>6</v>
      </c>
      <c r="E15" s="305">
        <v>5</v>
      </c>
      <c r="F15" s="305">
        <v>1</v>
      </c>
      <c r="G15" s="305"/>
      <c r="H15" s="304">
        <f t="shared" si="1"/>
        <v>23</v>
      </c>
      <c r="I15" s="305">
        <v>11</v>
      </c>
      <c r="J15" s="305">
        <v>3</v>
      </c>
      <c r="K15" s="305">
        <v>3</v>
      </c>
      <c r="L15" s="305">
        <v>2</v>
      </c>
      <c r="M15" s="305">
        <v>3</v>
      </c>
      <c r="N15" s="305">
        <v>1</v>
      </c>
      <c r="O15" s="305"/>
      <c r="P15" s="101">
        <f t="shared" si="2"/>
        <v>35</v>
      </c>
    </row>
    <row r="16" spans="1:16" s="6" customFormat="1" ht="26.25" customHeight="1">
      <c r="A16" s="252" t="s">
        <v>796</v>
      </c>
      <c r="B16" s="303" t="s">
        <v>797</v>
      </c>
      <c r="C16" s="304">
        <f t="shared" si="0"/>
        <v>52</v>
      </c>
      <c r="D16" s="305">
        <v>30</v>
      </c>
      <c r="E16" s="305">
        <v>13</v>
      </c>
      <c r="F16" s="305">
        <v>8</v>
      </c>
      <c r="G16" s="305">
        <v>1</v>
      </c>
      <c r="H16" s="304">
        <f t="shared" si="1"/>
        <v>31</v>
      </c>
      <c r="I16" s="305">
        <v>16</v>
      </c>
      <c r="J16" s="305">
        <v>4</v>
      </c>
      <c r="K16" s="305">
        <v>4</v>
      </c>
      <c r="L16" s="305">
        <v>1</v>
      </c>
      <c r="M16" s="305">
        <v>6</v>
      </c>
      <c r="N16" s="305"/>
      <c r="O16" s="305"/>
      <c r="P16" s="101">
        <f t="shared" si="2"/>
        <v>83</v>
      </c>
    </row>
    <row r="17" spans="1:18" s="6" customFormat="1" ht="26.25" customHeight="1">
      <c r="A17" s="252" t="s">
        <v>798</v>
      </c>
      <c r="B17" s="303" t="s">
        <v>799</v>
      </c>
      <c r="C17" s="304">
        <f t="shared" si="0"/>
        <v>17</v>
      </c>
      <c r="D17" s="305">
        <v>9</v>
      </c>
      <c r="E17" s="305">
        <v>3</v>
      </c>
      <c r="F17" s="305">
        <v>1</v>
      </c>
      <c r="G17" s="305">
        <v>4</v>
      </c>
      <c r="H17" s="304">
        <f t="shared" si="1"/>
        <v>62</v>
      </c>
      <c r="I17" s="305">
        <v>32</v>
      </c>
      <c r="J17" s="305">
        <v>7</v>
      </c>
      <c r="K17" s="305">
        <v>6</v>
      </c>
      <c r="L17" s="305">
        <v>1</v>
      </c>
      <c r="M17" s="305">
        <v>11</v>
      </c>
      <c r="N17" s="305">
        <v>5</v>
      </c>
      <c r="O17" s="305"/>
      <c r="P17" s="101">
        <f t="shared" si="2"/>
        <v>79</v>
      </c>
    </row>
    <row r="18" spans="1:18" s="6" customFormat="1" ht="26.25" customHeight="1">
      <c r="A18" s="252" t="s">
        <v>800</v>
      </c>
      <c r="B18" s="303" t="s">
        <v>801</v>
      </c>
      <c r="C18" s="304">
        <f>SUM(D18:G18)</f>
        <v>4</v>
      </c>
      <c r="D18" s="305">
        <v>1</v>
      </c>
      <c r="E18" s="305">
        <v>1</v>
      </c>
      <c r="F18" s="305"/>
      <c r="G18" s="305">
        <v>2</v>
      </c>
      <c r="H18" s="304">
        <f>SUM(I18:N18)</f>
        <v>9</v>
      </c>
      <c r="I18" s="305">
        <v>5</v>
      </c>
      <c r="J18" s="305">
        <v>2</v>
      </c>
      <c r="K18" s="305"/>
      <c r="L18" s="305">
        <v>1</v>
      </c>
      <c r="M18" s="305">
        <v>1</v>
      </c>
      <c r="N18" s="305"/>
      <c r="O18" s="305"/>
      <c r="P18" s="101">
        <f>+O18+H18+C18</f>
        <v>13</v>
      </c>
    </row>
    <row r="19" spans="1:18" s="6" customFormat="1" ht="26.25" customHeight="1">
      <c r="A19" s="252" t="s">
        <v>802</v>
      </c>
      <c r="B19" s="303" t="s">
        <v>803</v>
      </c>
      <c r="C19" s="304">
        <f>SUM(D19:G19)</f>
        <v>7</v>
      </c>
      <c r="D19" s="305">
        <v>6</v>
      </c>
      <c r="E19" s="305">
        <v>1</v>
      </c>
      <c r="F19" s="305"/>
      <c r="G19" s="305"/>
      <c r="H19" s="304">
        <f>SUM(I19:N19)</f>
        <v>12</v>
      </c>
      <c r="I19" s="305">
        <v>8</v>
      </c>
      <c r="J19" s="305"/>
      <c r="K19" s="305"/>
      <c r="L19" s="305">
        <v>1</v>
      </c>
      <c r="M19" s="305">
        <v>2</v>
      </c>
      <c r="N19" s="305">
        <v>1</v>
      </c>
      <c r="O19" s="305"/>
      <c r="P19" s="101">
        <f>+O19+H19+C19</f>
        <v>19</v>
      </c>
    </row>
    <row r="20" spans="1:18" s="6" customFormat="1" ht="26.25" customHeight="1">
      <c r="A20" s="303"/>
      <c r="B20" s="303" t="s">
        <v>535</v>
      </c>
      <c r="C20" s="304">
        <f>SUM(D20:G20)</f>
        <v>40</v>
      </c>
      <c r="D20" s="1202">
        <v>26</v>
      </c>
      <c r="E20" s="1202">
        <v>9</v>
      </c>
      <c r="F20" s="1202">
        <v>3</v>
      </c>
      <c r="G20" s="1202">
        <v>2</v>
      </c>
      <c r="H20" s="304">
        <f>SUM(I20:N20)</f>
        <v>70</v>
      </c>
      <c r="I20" s="1202">
        <v>33</v>
      </c>
      <c r="J20" s="1202">
        <v>8</v>
      </c>
      <c r="K20" s="1202">
        <v>10</v>
      </c>
      <c r="L20" s="1202">
        <v>3</v>
      </c>
      <c r="M20" s="1202">
        <v>11</v>
      </c>
      <c r="N20" s="1205">
        <v>5</v>
      </c>
      <c r="O20" s="305"/>
      <c r="P20" s="101">
        <f>+O20+H20+C20</f>
        <v>110</v>
      </c>
    </row>
    <row r="21" spans="1:18" ht="21.75" customHeight="1">
      <c r="A21" s="306"/>
      <c r="B21" s="306" t="s">
        <v>571</v>
      </c>
      <c r="C21" s="307">
        <f t="shared" ref="C21:P21" si="3">SUM(C9:C20)</f>
        <v>640</v>
      </c>
      <c r="D21" s="308">
        <f t="shared" si="3"/>
        <v>407</v>
      </c>
      <c r="E21" s="308">
        <f t="shared" si="3"/>
        <v>108</v>
      </c>
      <c r="F21" s="308">
        <f t="shared" si="3"/>
        <v>70</v>
      </c>
      <c r="G21" s="308">
        <f t="shared" si="3"/>
        <v>55</v>
      </c>
      <c r="H21" s="309">
        <f t="shared" si="3"/>
        <v>1066</v>
      </c>
      <c r="I21" s="308">
        <f t="shared" si="3"/>
        <v>542</v>
      </c>
      <c r="J21" s="308">
        <f t="shared" si="3"/>
        <v>122</v>
      </c>
      <c r="K21" s="308">
        <f t="shared" si="3"/>
        <v>104</v>
      </c>
      <c r="L21" s="308">
        <f t="shared" si="3"/>
        <v>51</v>
      </c>
      <c r="M21" s="308">
        <f t="shared" si="3"/>
        <v>170</v>
      </c>
      <c r="N21" s="308">
        <f t="shared" si="3"/>
        <v>77</v>
      </c>
      <c r="O21" s="308">
        <f t="shared" si="3"/>
        <v>0</v>
      </c>
      <c r="P21" s="310">
        <f t="shared" si="3"/>
        <v>1706</v>
      </c>
      <c r="R21" s="6"/>
    </row>
    <row r="22" spans="1:18">
      <c r="A22" s="11"/>
      <c r="B22" s="11"/>
      <c r="C22" s="11"/>
      <c r="D22" s="11"/>
      <c r="E22" s="11"/>
      <c r="F22" s="11"/>
      <c r="G22" s="11"/>
      <c r="H22" s="11"/>
      <c r="I22" s="11"/>
      <c r="J22" s="11"/>
      <c r="K22" s="11"/>
      <c r="L22" s="11"/>
      <c r="M22" s="11"/>
      <c r="N22" s="11"/>
    </row>
    <row r="23" spans="1:18">
      <c r="A23" s="11"/>
      <c r="B23" s="168"/>
      <c r="C23" s="11"/>
      <c r="D23" s="168"/>
      <c r="E23" s="168"/>
      <c r="F23" s="168"/>
      <c r="G23" s="168"/>
      <c r="H23" s="11"/>
      <c r="I23" s="168"/>
      <c r="J23" s="168"/>
      <c r="K23" s="168"/>
      <c r="L23" s="168"/>
      <c r="M23" s="168"/>
      <c r="N23" s="1130"/>
      <c r="O23" s="11"/>
    </row>
    <row r="24" spans="1:18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8">
      <c r="A25" s="11"/>
      <c r="B25" s="11"/>
      <c r="C25" s="11"/>
      <c r="D25" s="168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1"/>
    </row>
    <row r="26" spans="1:18">
      <c r="A26" s="11"/>
      <c r="B26" s="11"/>
      <c r="C26" s="11"/>
      <c r="D26" s="11"/>
      <c r="E26" s="11"/>
      <c r="F26" s="11"/>
      <c r="G26" s="11"/>
      <c r="H26" s="11"/>
      <c r="I26" s="11"/>
      <c r="J26" s="11"/>
      <c r="K26" s="11"/>
      <c r="L26" s="11"/>
      <c r="M26" s="11"/>
      <c r="N26" s="11"/>
      <c r="O26" s="11"/>
    </row>
    <row r="27" spans="1:18">
      <c r="A27" s="11"/>
      <c r="B27" s="11"/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/>
      <c r="N27" s="11"/>
    </row>
    <row r="28" spans="1:18">
      <c r="A28" s="11"/>
      <c r="B28" s="11"/>
      <c r="C28" s="11"/>
      <c r="D28" s="11"/>
      <c r="E28" s="11"/>
      <c r="F28" s="11"/>
      <c r="G28" s="11"/>
      <c r="H28" s="11"/>
      <c r="I28" s="11"/>
      <c r="J28" s="11"/>
      <c r="K28" s="11"/>
      <c r="L28" s="11"/>
      <c r="M28" s="11"/>
      <c r="N28" s="11"/>
      <c r="O28" s="11"/>
    </row>
    <row r="29" spans="1:18">
      <c r="A29" s="11"/>
      <c r="B29" s="11"/>
      <c r="C29" s="11"/>
      <c r="D29" s="168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</row>
    <row r="30" spans="1:18">
      <c r="A30" s="11"/>
      <c r="B30" s="11"/>
      <c r="C30" s="11"/>
      <c r="D30" s="11"/>
      <c r="E30" s="11"/>
      <c r="F30" s="11"/>
      <c r="G30" s="11"/>
      <c r="H30" s="11"/>
      <c r="I30" s="11"/>
      <c r="J30" s="11"/>
      <c r="K30" s="11"/>
      <c r="L30" s="11"/>
      <c r="M30" s="11"/>
      <c r="N30" s="11"/>
    </row>
    <row r="31" spans="1:18">
      <c r="A31" s="118" t="s">
        <v>804</v>
      </c>
      <c r="B31" s="185"/>
      <c r="C31" s="185"/>
      <c r="D31" s="185"/>
      <c r="E31" s="185"/>
      <c r="F31" s="185"/>
      <c r="G31" s="185"/>
      <c r="H31" s="1"/>
      <c r="I31" s="1"/>
      <c r="J31" s="1"/>
      <c r="K31" s="1"/>
      <c r="L31" s="1"/>
      <c r="M31" s="1"/>
      <c r="N31" s="1"/>
    </row>
    <row r="32" spans="1:18">
      <c r="A32" s="118"/>
      <c r="B32" s="185"/>
      <c r="C32" s="185"/>
      <c r="D32" s="185"/>
      <c r="E32" s="185"/>
      <c r="F32" s="185"/>
      <c r="G32" s="185"/>
      <c r="H32" s="1"/>
      <c r="I32" s="1"/>
      <c r="J32" s="1"/>
      <c r="K32" s="1"/>
      <c r="L32" s="1"/>
      <c r="M32" s="1"/>
      <c r="N32" s="1"/>
    </row>
    <row r="33" spans="1:15">
      <c r="A33" s="118" t="str">
        <f>+A3</f>
        <v>SERVICIO DE SALUD   ACONCAGUA   2014</v>
      </c>
      <c r="B33" s="185"/>
      <c r="C33" s="185"/>
      <c r="D33" s="185"/>
      <c r="E33" s="185"/>
      <c r="F33" s="185"/>
      <c r="G33" s="185"/>
      <c r="H33" s="1"/>
      <c r="I33" s="1"/>
      <c r="J33" s="1"/>
      <c r="K33" s="1"/>
      <c r="L33" s="1"/>
      <c r="M33" s="1"/>
      <c r="N33" s="1"/>
    </row>
    <row r="34" spans="1:15">
      <c r="A34" s="118" t="s">
        <v>755</v>
      </c>
      <c r="B34" s="185"/>
      <c r="C34" s="185"/>
      <c r="D34" s="185"/>
      <c r="E34" s="185"/>
      <c r="F34" s="185"/>
      <c r="G34" s="185"/>
      <c r="H34" s="1"/>
      <c r="I34" s="1"/>
      <c r="J34" s="1"/>
      <c r="K34" s="1"/>
      <c r="L34" s="1"/>
      <c r="M34" s="1"/>
      <c r="N34" s="1"/>
    </row>
    <row r="35" spans="1:15">
      <c r="A35" s="293"/>
    </row>
    <row r="36" spans="1:15">
      <c r="A36" s="293"/>
    </row>
    <row r="37" spans="1:15" ht="18" customHeight="1">
      <c r="A37" s="294" t="s">
        <v>756</v>
      </c>
      <c r="B37" s="65"/>
      <c r="C37" s="296" t="s">
        <v>805</v>
      </c>
      <c r="D37" s="296"/>
      <c r="E37" s="296"/>
      <c r="F37" s="296"/>
      <c r="G37" s="296"/>
      <c r="H37" s="296"/>
      <c r="I37" s="296"/>
      <c r="J37" s="296"/>
      <c r="K37" s="296"/>
      <c r="L37" s="296"/>
      <c r="M37" s="296"/>
      <c r="N37" s="281"/>
    </row>
    <row r="38" spans="1:15" ht="21.75" customHeight="1">
      <c r="A38" s="298" t="s">
        <v>758</v>
      </c>
      <c r="B38" s="91" t="s">
        <v>759</v>
      </c>
      <c r="C38" s="300" t="s">
        <v>806</v>
      </c>
      <c r="D38" s="301" t="s">
        <v>807</v>
      </c>
      <c r="E38" s="301" t="s">
        <v>808</v>
      </c>
      <c r="F38" s="301" t="s">
        <v>809</v>
      </c>
      <c r="G38" s="301" t="s">
        <v>810</v>
      </c>
      <c r="H38" s="301" t="s">
        <v>811</v>
      </c>
      <c r="I38" s="301" t="s">
        <v>812</v>
      </c>
      <c r="J38" s="301" t="s">
        <v>813</v>
      </c>
      <c r="K38" s="301" t="s">
        <v>814</v>
      </c>
      <c r="L38" s="301" t="s">
        <v>815</v>
      </c>
      <c r="M38" s="301" t="s">
        <v>816</v>
      </c>
      <c r="N38" s="302" t="s">
        <v>571</v>
      </c>
    </row>
    <row r="39" spans="1:15" s="6" customFormat="1" ht="26.25" customHeight="1">
      <c r="A39" s="252" t="s">
        <v>767</v>
      </c>
      <c r="B39" s="303" t="s">
        <v>768</v>
      </c>
      <c r="C39" s="305"/>
      <c r="D39" s="305"/>
      <c r="E39" s="305"/>
      <c r="F39" s="305"/>
      <c r="G39" s="305"/>
      <c r="H39" s="305"/>
      <c r="I39" s="305"/>
      <c r="J39" s="305"/>
      <c r="K39" s="305">
        <v>5</v>
      </c>
      <c r="L39" s="305">
        <v>71</v>
      </c>
      <c r="M39" s="305">
        <v>414</v>
      </c>
      <c r="N39" s="101">
        <f t="shared" ref="N39:N50" si="4">SUM(D39:M39)</f>
        <v>490</v>
      </c>
      <c r="O39" s="320"/>
    </row>
    <row r="40" spans="1:15" s="6" customFormat="1" ht="26.25" customHeight="1">
      <c r="A40" s="252" t="s">
        <v>769</v>
      </c>
      <c r="B40" s="303" t="s">
        <v>770</v>
      </c>
      <c r="C40" s="305"/>
      <c r="D40" s="305"/>
      <c r="E40" s="305"/>
      <c r="F40" s="305">
        <v>1</v>
      </c>
      <c r="G40" s="305">
        <v>2</v>
      </c>
      <c r="H40" s="305">
        <v>1</v>
      </c>
      <c r="I40" s="305">
        <v>2</v>
      </c>
      <c r="J40" s="305">
        <v>2</v>
      </c>
      <c r="K40" s="305">
        <v>17</v>
      </c>
      <c r="L40" s="305">
        <v>98</v>
      </c>
      <c r="M40" s="305">
        <v>281</v>
      </c>
      <c r="N40" s="101">
        <f t="shared" si="4"/>
        <v>404</v>
      </c>
    </row>
    <row r="41" spans="1:15" s="6" customFormat="1" ht="26.25" customHeight="1">
      <c r="A41" s="252" t="s">
        <v>771</v>
      </c>
      <c r="B41" s="303" t="s">
        <v>772</v>
      </c>
      <c r="C41" s="305"/>
      <c r="D41" s="305"/>
      <c r="E41" s="305"/>
      <c r="F41" s="305"/>
      <c r="G41" s="305"/>
      <c r="H41" s="305"/>
      <c r="I41" s="305"/>
      <c r="J41" s="305"/>
      <c r="K41" s="305">
        <v>1</v>
      </c>
      <c r="L41" s="305">
        <v>13</v>
      </c>
      <c r="M41" s="305">
        <v>153</v>
      </c>
      <c r="N41" s="101">
        <f t="shared" si="4"/>
        <v>167</v>
      </c>
      <c r="O41" s="320"/>
    </row>
    <row r="42" spans="1:15" s="6" customFormat="1" ht="26.25" customHeight="1">
      <c r="A42" s="252" t="s">
        <v>788</v>
      </c>
      <c r="B42" s="303" t="s">
        <v>789</v>
      </c>
      <c r="C42" s="305"/>
      <c r="D42" s="305"/>
      <c r="E42" s="305"/>
      <c r="F42" s="305">
        <v>2</v>
      </c>
      <c r="G42" s="305"/>
      <c r="H42" s="305"/>
      <c r="I42" s="305">
        <v>2</v>
      </c>
      <c r="J42" s="305">
        <v>2</v>
      </c>
      <c r="K42" s="305">
        <v>49</v>
      </c>
      <c r="L42" s="305">
        <v>33</v>
      </c>
      <c r="M42" s="305">
        <v>35</v>
      </c>
      <c r="N42" s="101">
        <f t="shared" si="4"/>
        <v>123</v>
      </c>
    </row>
    <row r="43" spans="1:15" s="6" customFormat="1" ht="26.25" customHeight="1">
      <c r="A43" s="252" t="s">
        <v>790</v>
      </c>
      <c r="B43" s="303" t="s">
        <v>791</v>
      </c>
      <c r="C43" s="305"/>
      <c r="D43" s="305"/>
      <c r="E43" s="305"/>
      <c r="F43" s="305"/>
      <c r="G43" s="305"/>
      <c r="H43" s="305"/>
      <c r="I43" s="305">
        <v>1</v>
      </c>
      <c r="J43" s="305"/>
      <c r="K43" s="305">
        <v>1</v>
      </c>
      <c r="L43" s="305">
        <v>33</v>
      </c>
      <c r="M43" s="305">
        <v>74</v>
      </c>
      <c r="N43" s="101">
        <f t="shared" si="4"/>
        <v>109</v>
      </c>
    </row>
    <row r="44" spans="1:15" s="6" customFormat="1" ht="26.25" customHeight="1">
      <c r="A44" s="252" t="s">
        <v>792</v>
      </c>
      <c r="B44" s="303" t="s">
        <v>793</v>
      </c>
      <c r="C44" s="305"/>
      <c r="D44" s="305"/>
      <c r="E44" s="305"/>
      <c r="F44" s="305"/>
      <c r="G44" s="305"/>
      <c r="H44" s="305"/>
      <c r="I44" s="305"/>
      <c r="J44" s="305">
        <v>1</v>
      </c>
      <c r="K44" s="305"/>
      <c r="L44" s="305">
        <v>11</v>
      </c>
      <c r="M44" s="305">
        <v>62</v>
      </c>
      <c r="N44" s="101">
        <f>SUM(D44:M44)</f>
        <v>74</v>
      </c>
    </row>
    <row r="45" spans="1:15" s="6" customFormat="1" ht="26.25" customHeight="1">
      <c r="A45" s="252" t="s">
        <v>794</v>
      </c>
      <c r="B45" s="303" t="s">
        <v>795</v>
      </c>
      <c r="C45" s="305"/>
      <c r="D45" s="305"/>
      <c r="E45" s="305"/>
      <c r="F45" s="305"/>
      <c r="G45" s="305"/>
      <c r="H45" s="305"/>
      <c r="I45" s="305"/>
      <c r="J45" s="305"/>
      <c r="K45" s="305">
        <v>4</v>
      </c>
      <c r="L45" s="305">
        <v>8</v>
      </c>
      <c r="M45" s="305">
        <v>23</v>
      </c>
      <c r="N45" s="101">
        <f t="shared" si="4"/>
        <v>35</v>
      </c>
    </row>
    <row r="46" spans="1:15" s="6" customFormat="1" ht="26.25" customHeight="1">
      <c r="A46" s="252" t="s">
        <v>796</v>
      </c>
      <c r="B46" s="303" t="s">
        <v>817</v>
      </c>
      <c r="C46" s="305"/>
      <c r="D46" s="305"/>
      <c r="E46" s="305"/>
      <c r="F46" s="305"/>
      <c r="G46" s="305"/>
      <c r="H46" s="305">
        <v>1</v>
      </c>
      <c r="I46" s="305"/>
      <c r="J46" s="305"/>
      <c r="K46" s="305">
        <v>2</v>
      </c>
      <c r="L46" s="305">
        <v>2</v>
      </c>
      <c r="M46" s="305">
        <v>78</v>
      </c>
      <c r="N46" s="101">
        <f t="shared" si="4"/>
        <v>83</v>
      </c>
    </row>
    <row r="47" spans="1:15" s="6" customFormat="1" ht="26.25" customHeight="1">
      <c r="A47" s="252" t="s">
        <v>798</v>
      </c>
      <c r="B47" s="303" t="s">
        <v>799</v>
      </c>
      <c r="C47" s="305"/>
      <c r="D47" s="1204"/>
      <c r="E47" s="305"/>
      <c r="F47" s="305"/>
      <c r="G47" s="305"/>
      <c r="H47" s="305"/>
      <c r="I47" s="305"/>
      <c r="J47" s="305">
        <v>1</v>
      </c>
      <c r="K47" s="305"/>
      <c r="L47" s="305">
        <v>7</v>
      </c>
      <c r="M47" s="305">
        <v>71</v>
      </c>
      <c r="N47" s="101">
        <f t="shared" si="4"/>
        <v>79</v>
      </c>
    </row>
    <row r="48" spans="1:15" s="6" customFormat="1" ht="26.25" customHeight="1">
      <c r="A48" s="252" t="s">
        <v>800</v>
      </c>
      <c r="B48" s="303" t="s">
        <v>801</v>
      </c>
      <c r="C48" s="305"/>
      <c r="D48" s="305">
        <v>7</v>
      </c>
      <c r="E48" s="305">
        <v>6</v>
      </c>
      <c r="F48" s="305"/>
      <c r="G48" s="305"/>
      <c r="H48" s="305"/>
      <c r="I48" s="305"/>
      <c r="J48" s="305"/>
      <c r="K48" s="305"/>
      <c r="L48" s="305"/>
      <c r="M48" s="305"/>
      <c r="N48" s="101">
        <f t="shared" si="4"/>
        <v>13</v>
      </c>
    </row>
    <row r="49" spans="1:18" s="6" customFormat="1" ht="26.25" customHeight="1">
      <c r="A49" s="252" t="s">
        <v>802</v>
      </c>
      <c r="B49" s="303" t="s">
        <v>803</v>
      </c>
      <c r="C49" s="305"/>
      <c r="D49" s="305">
        <v>6</v>
      </c>
      <c r="E49" s="305">
        <v>1</v>
      </c>
      <c r="F49" s="305">
        <v>5</v>
      </c>
      <c r="G49" s="305">
        <v>1</v>
      </c>
      <c r="H49" s="305"/>
      <c r="I49" s="305"/>
      <c r="J49" s="305">
        <v>1</v>
      </c>
      <c r="K49" s="305"/>
      <c r="L49" s="305">
        <v>4</v>
      </c>
      <c r="M49" s="305">
        <v>1</v>
      </c>
      <c r="N49" s="101">
        <f>SUM(D49:M49)</f>
        <v>19</v>
      </c>
    </row>
    <row r="50" spans="1:18" ht="26.25" customHeight="1">
      <c r="A50" s="303"/>
      <c r="B50" s="303" t="s">
        <v>818</v>
      </c>
      <c r="C50" s="305"/>
      <c r="D50" s="305"/>
      <c r="E50" s="305"/>
      <c r="F50" s="305"/>
      <c r="G50" s="305"/>
      <c r="H50" s="305"/>
      <c r="I50" s="305">
        <v>1</v>
      </c>
      <c r="J50" s="305"/>
      <c r="K50" s="305">
        <v>5</v>
      </c>
      <c r="L50" s="305">
        <v>9</v>
      </c>
      <c r="M50" s="305">
        <v>95</v>
      </c>
      <c r="N50" s="101">
        <f t="shared" si="4"/>
        <v>110</v>
      </c>
      <c r="O50" s="6"/>
      <c r="P50" s="6"/>
      <c r="R50">
        <v>8</v>
      </c>
    </row>
    <row r="51" spans="1:18" ht="23.25" customHeight="1">
      <c r="A51" s="306"/>
      <c r="B51" s="306" t="s">
        <v>819</v>
      </c>
      <c r="C51" s="308">
        <f t="shared" ref="C51:N51" si="5">SUM(C39:C50)</f>
        <v>0</v>
      </c>
      <c r="D51" s="308">
        <f t="shared" si="5"/>
        <v>13</v>
      </c>
      <c r="E51" s="308">
        <f t="shared" si="5"/>
        <v>7</v>
      </c>
      <c r="F51" s="308">
        <f t="shared" si="5"/>
        <v>8</v>
      </c>
      <c r="G51" s="308">
        <f t="shared" si="5"/>
        <v>3</v>
      </c>
      <c r="H51" s="308">
        <f t="shared" si="5"/>
        <v>2</v>
      </c>
      <c r="I51" s="308">
        <f t="shared" si="5"/>
        <v>6</v>
      </c>
      <c r="J51" s="308">
        <f t="shared" si="5"/>
        <v>7</v>
      </c>
      <c r="K51" s="308">
        <f t="shared" si="5"/>
        <v>84</v>
      </c>
      <c r="L51" s="308">
        <f t="shared" si="5"/>
        <v>289</v>
      </c>
      <c r="M51" s="308">
        <f t="shared" si="5"/>
        <v>1287</v>
      </c>
      <c r="N51" s="310">
        <f t="shared" si="5"/>
        <v>1706</v>
      </c>
      <c r="P51" s="6"/>
    </row>
    <row r="52" spans="1:18">
      <c r="A52" s="11"/>
      <c r="B52" s="11"/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11"/>
    </row>
    <row r="65" spans="4:11">
      <c r="G65">
        <v>2014</v>
      </c>
      <c r="H65">
        <v>1992</v>
      </c>
      <c r="I65" t="s">
        <v>820</v>
      </c>
      <c r="J65" t="s">
        <v>821</v>
      </c>
      <c r="K65" t="s">
        <v>822</v>
      </c>
    </row>
    <row r="66" spans="4:11">
      <c r="D66" s="311" t="s">
        <v>768</v>
      </c>
      <c r="G66">
        <f>+P9</f>
        <v>490</v>
      </c>
      <c r="H66">
        <v>294</v>
      </c>
      <c r="I66">
        <v>23771</v>
      </c>
      <c r="J66" s="226">
        <f t="shared" ref="J66:J77" si="6">+I66/I$78*100</f>
        <v>28.409742805239507</v>
      </c>
      <c r="K66" s="226">
        <f t="shared" ref="K66:K76" si="7">+G66/G$78*100</f>
        <v>28.722157092614303</v>
      </c>
    </row>
    <row r="67" spans="4:11">
      <c r="D67" s="311" t="s">
        <v>770</v>
      </c>
      <c r="G67">
        <f>+P10</f>
        <v>404</v>
      </c>
      <c r="H67">
        <v>170</v>
      </c>
      <c r="I67">
        <v>19700</v>
      </c>
      <c r="J67" s="226">
        <f t="shared" si="6"/>
        <v>23.544315900181662</v>
      </c>
      <c r="K67" s="226">
        <f t="shared" si="7"/>
        <v>23.681125439624854</v>
      </c>
    </row>
    <row r="68" spans="4:11">
      <c r="D68" s="311" t="s">
        <v>772</v>
      </c>
      <c r="G68">
        <f>+P11</f>
        <v>167</v>
      </c>
      <c r="H68">
        <v>151</v>
      </c>
      <c r="I68">
        <v>7432</v>
      </c>
      <c r="J68" s="226">
        <f t="shared" si="6"/>
        <v>8.8823023233578748</v>
      </c>
      <c r="K68" s="226">
        <f t="shared" si="7"/>
        <v>9.7889800703399761</v>
      </c>
    </row>
    <row r="69" spans="4:11">
      <c r="D69" s="311" t="s">
        <v>789</v>
      </c>
      <c r="G69">
        <f>+P12</f>
        <v>123</v>
      </c>
      <c r="H69">
        <v>100</v>
      </c>
      <c r="I69">
        <v>7407</v>
      </c>
      <c r="J69" s="226">
        <f t="shared" si="6"/>
        <v>8.8524237498804847</v>
      </c>
      <c r="K69" s="226">
        <f t="shared" si="7"/>
        <v>7.2098475967174682</v>
      </c>
    </row>
    <row r="70" spans="4:11">
      <c r="D70" s="311" t="s">
        <v>791</v>
      </c>
      <c r="G70">
        <f>+P13</f>
        <v>109</v>
      </c>
      <c r="H70">
        <v>52</v>
      </c>
      <c r="I70">
        <v>6601</v>
      </c>
      <c r="J70" s="226">
        <f t="shared" si="6"/>
        <v>7.8891385409694994</v>
      </c>
      <c r="K70" s="226">
        <f t="shared" si="7"/>
        <v>6.3892145369284874</v>
      </c>
    </row>
    <row r="71" spans="4:11">
      <c r="D71" s="311" t="s">
        <v>795</v>
      </c>
      <c r="G71">
        <f>+P15</f>
        <v>35</v>
      </c>
      <c r="H71">
        <v>36</v>
      </c>
      <c r="I71">
        <v>1278</v>
      </c>
      <c r="J71" s="226">
        <f t="shared" si="6"/>
        <v>1.5273926761640693</v>
      </c>
      <c r="K71" s="226">
        <f t="shared" si="7"/>
        <v>2.0515826494724503</v>
      </c>
    </row>
    <row r="72" spans="4:11">
      <c r="D72" s="311" t="s">
        <v>817</v>
      </c>
      <c r="G72">
        <f>+P16</f>
        <v>83</v>
      </c>
      <c r="H72">
        <v>59</v>
      </c>
      <c r="I72">
        <v>2381</v>
      </c>
      <c r="J72" s="226">
        <f t="shared" si="6"/>
        <v>2.845635337986423</v>
      </c>
      <c r="K72" s="226">
        <f t="shared" si="7"/>
        <v>4.8651817116060956</v>
      </c>
    </row>
    <row r="73" spans="4:11">
      <c r="D73" s="311" t="s">
        <v>793</v>
      </c>
      <c r="G73">
        <f>+P14</f>
        <v>74</v>
      </c>
      <c r="H73">
        <v>28</v>
      </c>
      <c r="I73">
        <v>2267</v>
      </c>
      <c r="J73" s="226">
        <f t="shared" si="6"/>
        <v>2.7093890429295344</v>
      </c>
      <c r="K73" s="226">
        <f t="shared" si="7"/>
        <v>4.3376318874560376</v>
      </c>
    </row>
    <row r="74" spans="4:11">
      <c r="D74" s="311" t="s">
        <v>799</v>
      </c>
      <c r="G74">
        <f>+P17</f>
        <v>79</v>
      </c>
      <c r="H74">
        <v>23</v>
      </c>
      <c r="I74">
        <v>4148</v>
      </c>
      <c r="J74" s="226">
        <f t="shared" si="6"/>
        <v>4.9574529113681995</v>
      </c>
      <c r="K74" s="226">
        <f t="shared" si="7"/>
        <v>4.6307151230949595</v>
      </c>
    </row>
    <row r="75" spans="4:11">
      <c r="D75" s="311" t="s">
        <v>801</v>
      </c>
      <c r="G75">
        <f>+P18</f>
        <v>13</v>
      </c>
      <c r="H75">
        <v>28</v>
      </c>
      <c r="I75">
        <v>738</v>
      </c>
      <c r="J75" s="226">
        <f t="shared" si="6"/>
        <v>0.88201548905249072</v>
      </c>
      <c r="K75" s="226">
        <f t="shared" si="7"/>
        <v>0.7620164126611958</v>
      </c>
    </row>
    <row r="76" spans="4:11">
      <c r="D76" s="311" t="s">
        <v>803</v>
      </c>
      <c r="G76">
        <f>+P19</f>
        <v>19</v>
      </c>
      <c r="H76">
        <v>10</v>
      </c>
      <c r="I76">
        <v>916</v>
      </c>
      <c r="J76" s="226">
        <f t="shared" si="6"/>
        <v>1.0947509322114923</v>
      </c>
      <c r="K76" s="226">
        <f t="shared" si="7"/>
        <v>1.1137162954279016</v>
      </c>
    </row>
    <row r="77" spans="4:11">
      <c r="D77" s="311" t="s">
        <v>818</v>
      </c>
      <c r="G77">
        <f>+P20</f>
        <v>110</v>
      </c>
      <c r="H77">
        <v>26</v>
      </c>
      <c r="I77">
        <v>7033</v>
      </c>
      <c r="J77" s="226">
        <f t="shared" si="6"/>
        <v>8.4054402906587633</v>
      </c>
      <c r="K77" s="226">
        <f>(+G77)/G$78*100</f>
        <v>6.4478311840562714</v>
      </c>
    </row>
    <row r="78" spans="4:11">
      <c r="G78">
        <f>SUM(G66:G77)</f>
        <v>1706</v>
      </c>
      <c r="H78">
        <f>SUM(H66:H77)</f>
        <v>977</v>
      </c>
      <c r="I78">
        <f>SUM(I66:I77)</f>
        <v>83672</v>
      </c>
      <c r="J78">
        <f>SUM(J66:J77)</f>
        <v>99.999999999999986</v>
      </c>
      <c r="K78">
        <f>SUM(K66:K77)</f>
        <v>100.00000000000001</v>
      </c>
    </row>
  </sheetData>
  <phoneticPr fontId="19" type="noConversion"/>
  <pageMargins left="0.98425196850393704" right="0.75" top="0.98425196850393704" bottom="0.99" header="0.51181102362204722" footer="0.51181102362204722"/>
  <pageSetup paperSize="5" scale="85" orientation="landscape" horizontalDpi="300" verticalDpi="300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56"/>
  <sheetViews>
    <sheetView topLeftCell="C1" zoomScale="75" workbookViewId="0">
      <selection activeCell="T50" sqref="T50:T51"/>
    </sheetView>
  </sheetViews>
  <sheetFormatPr baseColWidth="10" defaultRowHeight="12.75"/>
  <cols>
    <col min="1" max="1" width="9" customWidth="1"/>
    <col min="2" max="2" width="27.140625" customWidth="1"/>
    <col min="3" max="3" width="9.85546875" customWidth="1"/>
    <col min="4" max="4" width="9.7109375" customWidth="1"/>
    <col min="5" max="5" width="9.28515625" customWidth="1"/>
    <col min="6" max="6" width="10" customWidth="1"/>
    <col min="7" max="7" width="10.28515625" customWidth="1"/>
    <col min="8" max="8" width="10" customWidth="1"/>
    <col min="9" max="10" width="9.7109375" customWidth="1"/>
    <col min="11" max="11" width="10" customWidth="1"/>
    <col min="12" max="12" width="9" customWidth="1"/>
    <col min="13" max="13" width="8.5703125" customWidth="1"/>
    <col min="14" max="14" width="9.140625" customWidth="1"/>
    <col min="15" max="18" width="10.140625" customWidth="1"/>
    <col min="19" max="19" width="8.42578125" customWidth="1"/>
    <col min="20" max="20" width="8.7109375" customWidth="1"/>
    <col min="21" max="21" width="9.140625" style="313" customWidth="1"/>
  </cols>
  <sheetData>
    <row r="1" spans="1:21">
      <c r="A1" s="1211" t="s">
        <v>823</v>
      </c>
      <c r="B1" s="1211"/>
      <c r="C1" s="1211"/>
      <c r="D1" s="1211"/>
      <c r="E1" s="1211"/>
      <c r="F1" s="1211"/>
      <c r="G1" s="1211"/>
      <c r="H1" s="1211"/>
      <c r="I1" s="1211"/>
      <c r="J1" s="1211"/>
      <c r="K1" s="1211"/>
      <c r="L1" s="1211"/>
      <c r="M1" s="1211"/>
      <c r="N1" s="1211"/>
      <c r="O1" s="1211"/>
      <c r="P1" s="1211"/>
      <c r="Q1" s="1211"/>
      <c r="R1" s="1211"/>
      <c r="S1" s="1211"/>
      <c r="T1" s="1211"/>
    </row>
    <row r="2" spans="1:21">
      <c r="A2" s="118"/>
      <c r="B2" s="118"/>
      <c r="C2" s="118"/>
      <c r="D2" s="118"/>
      <c r="E2" s="118"/>
      <c r="F2" s="118"/>
      <c r="G2" s="118"/>
      <c r="H2" s="84"/>
      <c r="I2" s="84"/>
      <c r="J2" s="84"/>
      <c r="K2" s="84"/>
      <c r="L2" s="84"/>
      <c r="M2" s="84"/>
      <c r="N2" s="84"/>
      <c r="O2" s="314"/>
      <c r="P2" s="314"/>
      <c r="Q2" s="314"/>
      <c r="R2" s="314"/>
      <c r="S2" s="314"/>
      <c r="T2" s="314"/>
    </row>
    <row r="3" spans="1:21">
      <c r="A3" s="1211" t="str">
        <f>+'35'!A3</f>
        <v>SERVICIO DE SALUD   ACONCAGUA   2014</v>
      </c>
      <c r="B3" s="1211"/>
      <c r="C3" s="1211"/>
      <c r="D3" s="1211"/>
      <c r="E3" s="1211"/>
      <c r="F3" s="1211"/>
      <c r="G3" s="1211"/>
      <c r="H3" s="1211"/>
      <c r="I3" s="1211"/>
      <c r="J3" s="1211"/>
      <c r="K3" s="1211"/>
      <c r="L3" s="1211"/>
      <c r="M3" s="1211"/>
      <c r="N3" s="1211"/>
      <c r="O3" s="1211"/>
      <c r="P3" s="1211"/>
      <c r="Q3" s="1211"/>
      <c r="R3" s="1211"/>
      <c r="S3" s="1211"/>
      <c r="T3" s="1211"/>
    </row>
    <row r="4" spans="1:21">
      <c r="A4" s="1211" t="s">
        <v>755</v>
      </c>
      <c r="B4" s="1211"/>
      <c r="C4" s="1211"/>
      <c r="D4" s="1211"/>
      <c r="E4" s="1211"/>
      <c r="F4" s="1211"/>
      <c r="G4" s="1211"/>
      <c r="H4" s="1211"/>
      <c r="I4" s="1211"/>
      <c r="J4" s="1211"/>
      <c r="K4" s="1211"/>
      <c r="L4" s="1211"/>
      <c r="M4" s="1211"/>
      <c r="N4" s="1211"/>
      <c r="O4" s="1211"/>
      <c r="P4" s="1211"/>
      <c r="Q4" s="1211"/>
      <c r="R4" s="1211"/>
      <c r="S4" s="1211"/>
      <c r="T4" s="1211"/>
    </row>
    <row r="5" spans="1:21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312"/>
      <c r="M5" s="312"/>
      <c r="N5" s="312"/>
      <c r="O5" s="312"/>
      <c r="P5" s="312"/>
      <c r="Q5" s="312"/>
      <c r="R5" s="312"/>
      <c r="S5" s="312"/>
      <c r="T5" s="312"/>
    </row>
    <row r="6" spans="1:21">
      <c r="A6" s="293"/>
    </row>
    <row r="7" spans="1:21">
      <c r="A7" s="293"/>
    </row>
    <row r="8" spans="1:21">
      <c r="A8" s="294" t="s">
        <v>756</v>
      </c>
      <c r="B8" s="65"/>
      <c r="C8" s="183"/>
      <c r="D8" s="247"/>
      <c r="E8" s="247"/>
      <c r="F8" s="247"/>
      <c r="G8" s="247"/>
      <c r="H8" s="247"/>
      <c r="I8" s="247"/>
      <c r="J8" s="247"/>
      <c r="K8" s="247"/>
      <c r="L8" s="247"/>
      <c r="M8" s="247"/>
      <c r="N8" s="247"/>
      <c r="O8" s="247"/>
      <c r="P8" s="247"/>
      <c r="Q8" s="247"/>
      <c r="R8" s="247"/>
      <c r="S8" s="247"/>
      <c r="T8" s="315"/>
    </row>
    <row r="9" spans="1:21" s="6" customFormat="1" ht="23.25" customHeight="1">
      <c r="A9" s="316" t="s">
        <v>758</v>
      </c>
      <c r="B9" s="15" t="s">
        <v>759</v>
      </c>
      <c r="C9" s="317" t="s">
        <v>824</v>
      </c>
      <c r="D9" s="318" t="s">
        <v>825</v>
      </c>
      <c r="E9" s="318" t="s">
        <v>826</v>
      </c>
      <c r="F9" s="318" t="s">
        <v>827</v>
      </c>
      <c r="G9" s="318" t="s">
        <v>828</v>
      </c>
      <c r="H9" s="318" t="s">
        <v>829</v>
      </c>
      <c r="I9" s="318" t="s">
        <v>830</v>
      </c>
      <c r="J9" s="318" t="s">
        <v>831</v>
      </c>
      <c r="K9" s="318" t="s">
        <v>832</v>
      </c>
      <c r="L9" s="318" t="s">
        <v>833</v>
      </c>
      <c r="M9" s="318" t="s">
        <v>834</v>
      </c>
      <c r="N9" s="318" t="s">
        <v>835</v>
      </c>
      <c r="O9" s="318" t="s">
        <v>836</v>
      </c>
      <c r="P9" s="318" t="s">
        <v>837</v>
      </c>
      <c r="Q9" s="318" t="s">
        <v>838</v>
      </c>
      <c r="R9" s="318" t="s">
        <v>839</v>
      </c>
      <c r="S9" s="318" t="s">
        <v>840</v>
      </c>
      <c r="T9" s="319" t="s">
        <v>571</v>
      </c>
      <c r="U9" s="320"/>
    </row>
    <row r="10" spans="1:21" s="6" customFormat="1" ht="25.5" customHeight="1">
      <c r="A10" s="252" t="s">
        <v>767</v>
      </c>
      <c r="B10" s="303" t="s">
        <v>768</v>
      </c>
      <c r="C10" s="321">
        <f t="shared" ref="C10:C21" si="0">+C43*79</f>
        <v>0</v>
      </c>
      <c r="D10" s="321">
        <f t="shared" ref="D10:D21" si="1">+D43*72.5</f>
        <v>0</v>
      </c>
      <c r="E10" s="321">
        <f>+E43*67.5</f>
        <v>0</v>
      </c>
      <c r="F10" s="321">
        <f t="shared" ref="F10:F21" si="2">+F43*62.5</f>
        <v>0</v>
      </c>
      <c r="G10" s="321">
        <f t="shared" ref="G10:G21" si="3">+G43*57.5</f>
        <v>57.5</v>
      </c>
      <c r="H10" s="321">
        <f t="shared" ref="H10:H21" si="4">+H43*52.5</f>
        <v>0</v>
      </c>
      <c r="I10" s="321">
        <f t="shared" ref="I10:I21" si="5">+I43*47.5</f>
        <v>0</v>
      </c>
      <c r="J10" s="321">
        <f t="shared" ref="J10:J21" si="6">+J43*42.5</f>
        <v>42.5</v>
      </c>
      <c r="K10" s="321">
        <f t="shared" ref="K10:K21" si="7">+K43*37.5</f>
        <v>112.5</v>
      </c>
      <c r="L10" s="321">
        <f t="shared" ref="L10:L21" si="8">+L43*32.5</f>
        <v>227.5</v>
      </c>
      <c r="M10" s="321">
        <f t="shared" ref="M10:M21" si="9">+M43*27.5</f>
        <v>550</v>
      </c>
      <c r="N10" s="321">
        <f t="shared" ref="N10:N21" si="10">+N43*22.5</f>
        <v>450</v>
      </c>
      <c r="O10" s="321">
        <f t="shared" ref="O10:O21" si="11">+O43*17.5</f>
        <v>420</v>
      </c>
      <c r="P10" s="322">
        <f t="shared" ref="P10:P21" si="12">+P43*12.5</f>
        <v>537.5</v>
      </c>
      <c r="Q10" s="322">
        <f t="shared" ref="Q10:Q21" si="13">+Q43*7.5</f>
        <v>442.5</v>
      </c>
      <c r="R10" s="322">
        <f t="shared" ref="R10:R21" si="14">+R43*2.5</f>
        <v>152.5</v>
      </c>
      <c r="S10" s="322">
        <f t="shared" ref="S10:S21" si="15">+S43*0</f>
        <v>0</v>
      </c>
      <c r="T10" s="677">
        <f>SUM(C10:S10)</f>
        <v>2992.5</v>
      </c>
      <c r="U10" s="320"/>
    </row>
    <row r="11" spans="1:21" s="6" customFormat="1" ht="25.5" customHeight="1">
      <c r="A11" s="252" t="s">
        <v>769</v>
      </c>
      <c r="B11" s="303" t="s">
        <v>770</v>
      </c>
      <c r="C11" s="321">
        <f t="shared" si="0"/>
        <v>158</v>
      </c>
      <c r="D11" s="321">
        <f t="shared" si="1"/>
        <v>72.5</v>
      </c>
      <c r="E11" s="321">
        <f t="shared" ref="E11:E21" si="16">+E44*67.5</f>
        <v>135</v>
      </c>
      <c r="F11" s="321">
        <f t="shared" si="2"/>
        <v>125</v>
      </c>
      <c r="G11" s="321">
        <f t="shared" si="3"/>
        <v>115</v>
      </c>
      <c r="H11" s="321">
        <f t="shared" si="4"/>
        <v>105</v>
      </c>
      <c r="I11" s="321">
        <f t="shared" si="5"/>
        <v>47.5</v>
      </c>
      <c r="J11" s="321">
        <f t="shared" si="6"/>
        <v>297.5</v>
      </c>
      <c r="K11" s="321">
        <f t="shared" si="7"/>
        <v>187.5</v>
      </c>
      <c r="L11" s="321">
        <f t="shared" si="8"/>
        <v>585</v>
      </c>
      <c r="M11" s="321">
        <f t="shared" si="9"/>
        <v>385</v>
      </c>
      <c r="N11" s="321">
        <f t="shared" si="10"/>
        <v>540</v>
      </c>
      <c r="O11" s="321">
        <f t="shared" si="11"/>
        <v>735</v>
      </c>
      <c r="P11" s="321">
        <f t="shared" si="12"/>
        <v>700</v>
      </c>
      <c r="Q11" s="321">
        <f t="shared" si="13"/>
        <v>352.5</v>
      </c>
      <c r="R11" s="321">
        <f t="shared" si="14"/>
        <v>110</v>
      </c>
      <c r="S11" s="322">
        <f t="shared" si="15"/>
        <v>0</v>
      </c>
      <c r="T11" s="1131">
        <f>SUM(C11:S11)</f>
        <v>4650.5</v>
      </c>
      <c r="U11" s="320"/>
    </row>
    <row r="12" spans="1:21" s="6" customFormat="1" ht="25.5" customHeight="1">
      <c r="A12" s="252" t="s">
        <v>771</v>
      </c>
      <c r="B12" s="303" t="s">
        <v>772</v>
      </c>
      <c r="C12" s="321">
        <f t="shared" si="0"/>
        <v>0</v>
      </c>
      <c r="D12" s="321">
        <f t="shared" si="1"/>
        <v>0</v>
      </c>
      <c r="E12" s="321">
        <f t="shared" si="16"/>
        <v>0</v>
      </c>
      <c r="F12" s="321">
        <f t="shared" si="2"/>
        <v>0</v>
      </c>
      <c r="G12" s="321">
        <f t="shared" si="3"/>
        <v>0</v>
      </c>
      <c r="H12" s="321">
        <f t="shared" si="4"/>
        <v>0</v>
      </c>
      <c r="I12" s="321">
        <f t="shared" si="5"/>
        <v>0</v>
      </c>
      <c r="J12" s="321">
        <f t="shared" si="6"/>
        <v>0</v>
      </c>
      <c r="K12" s="321">
        <f t="shared" si="7"/>
        <v>37.5</v>
      </c>
      <c r="L12" s="321">
        <f t="shared" si="8"/>
        <v>0</v>
      </c>
      <c r="M12" s="321">
        <f t="shared" si="9"/>
        <v>27.5</v>
      </c>
      <c r="N12" s="321">
        <f t="shared" si="10"/>
        <v>67.5</v>
      </c>
      <c r="O12" s="321">
        <f t="shared" si="11"/>
        <v>157.5</v>
      </c>
      <c r="P12" s="322">
        <f t="shared" si="12"/>
        <v>162.5</v>
      </c>
      <c r="Q12" s="322">
        <f t="shared" si="13"/>
        <v>112.5</v>
      </c>
      <c r="R12" s="322">
        <f t="shared" si="14"/>
        <v>60</v>
      </c>
      <c r="S12" s="322">
        <f t="shared" si="15"/>
        <v>0</v>
      </c>
      <c r="T12" s="677">
        <f>SUM(C12:S12)</f>
        <v>625</v>
      </c>
      <c r="U12" s="320"/>
    </row>
    <row r="13" spans="1:21" s="6" customFormat="1" ht="25.5" customHeight="1">
      <c r="A13" s="252" t="s">
        <v>788</v>
      </c>
      <c r="B13" s="303" t="s">
        <v>789</v>
      </c>
      <c r="C13" s="321">
        <f t="shared" si="0"/>
        <v>0</v>
      </c>
      <c r="D13" s="321">
        <f t="shared" si="1"/>
        <v>0</v>
      </c>
      <c r="E13" s="321">
        <f t="shared" si="16"/>
        <v>135</v>
      </c>
      <c r="F13" s="321">
        <f t="shared" si="2"/>
        <v>125</v>
      </c>
      <c r="G13" s="321">
        <f t="shared" si="3"/>
        <v>345</v>
      </c>
      <c r="H13" s="321">
        <f t="shared" si="4"/>
        <v>630</v>
      </c>
      <c r="I13" s="321">
        <f t="shared" si="5"/>
        <v>380</v>
      </c>
      <c r="J13" s="321">
        <f t="shared" si="6"/>
        <v>467.5</v>
      </c>
      <c r="K13" s="321">
        <f t="shared" si="7"/>
        <v>450</v>
      </c>
      <c r="L13" s="321">
        <f t="shared" si="8"/>
        <v>195</v>
      </c>
      <c r="M13" s="321">
        <f t="shared" si="9"/>
        <v>192.5</v>
      </c>
      <c r="N13" s="321">
        <f t="shared" si="10"/>
        <v>180</v>
      </c>
      <c r="O13" s="321">
        <f t="shared" si="11"/>
        <v>210</v>
      </c>
      <c r="P13" s="322">
        <f t="shared" si="12"/>
        <v>62.5</v>
      </c>
      <c r="Q13" s="322">
        <f t="shared" si="13"/>
        <v>15</v>
      </c>
      <c r="R13" s="322">
        <f t="shared" si="14"/>
        <v>20</v>
      </c>
      <c r="S13" s="322">
        <f t="shared" si="15"/>
        <v>0</v>
      </c>
      <c r="T13" s="1131">
        <f>SUM(C13:S13)</f>
        <v>3407.5</v>
      </c>
      <c r="U13" s="320"/>
    </row>
    <row r="14" spans="1:21" s="6" customFormat="1" ht="25.5" customHeight="1">
      <c r="A14" s="252" t="s">
        <v>790</v>
      </c>
      <c r="B14" s="303" t="s">
        <v>791</v>
      </c>
      <c r="C14" s="321">
        <f t="shared" si="0"/>
        <v>0</v>
      </c>
      <c r="D14" s="321">
        <f t="shared" si="1"/>
        <v>0</v>
      </c>
      <c r="E14" s="321">
        <f t="shared" si="16"/>
        <v>67.5</v>
      </c>
      <c r="F14" s="321">
        <f t="shared" si="2"/>
        <v>0</v>
      </c>
      <c r="G14" s="321">
        <f t="shared" si="3"/>
        <v>0</v>
      </c>
      <c r="H14" s="321">
        <f t="shared" si="4"/>
        <v>0</v>
      </c>
      <c r="I14" s="321">
        <f t="shared" si="5"/>
        <v>47.5</v>
      </c>
      <c r="J14" s="321">
        <f t="shared" si="6"/>
        <v>0</v>
      </c>
      <c r="K14" s="321">
        <f t="shared" si="7"/>
        <v>0</v>
      </c>
      <c r="L14" s="321">
        <f t="shared" si="8"/>
        <v>162.5</v>
      </c>
      <c r="M14" s="321">
        <f t="shared" si="9"/>
        <v>165</v>
      </c>
      <c r="N14" s="321">
        <f t="shared" si="10"/>
        <v>292.5</v>
      </c>
      <c r="O14" s="321">
        <f t="shared" si="11"/>
        <v>157.5</v>
      </c>
      <c r="P14" s="322">
        <f t="shared" si="12"/>
        <v>187.5</v>
      </c>
      <c r="Q14" s="322">
        <f t="shared" si="13"/>
        <v>105</v>
      </c>
      <c r="R14" s="322">
        <f t="shared" si="14"/>
        <v>42.5</v>
      </c>
      <c r="S14" s="322">
        <f t="shared" si="15"/>
        <v>0</v>
      </c>
      <c r="T14" s="677">
        <f>SUM(C14:S14)</f>
        <v>1227.5</v>
      </c>
      <c r="U14" s="320"/>
    </row>
    <row r="15" spans="1:21" s="6" customFormat="1" ht="25.5" customHeight="1">
      <c r="A15" s="252" t="s">
        <v>792</v>
      </c>
      <c r="B15" s="303" t="s">
        <v>793</v>
      </c>
      <c r="C15" s="321">
        <f t="shared" si="0"/>
        <v>0</v>
      </c>
      <c r="D15" s="321">
        <f t="shared" si="1"/>
        <v>0</v>
      </c>
      <c r="E15" s="321">
        <f t="shared" si="16"/>
        <v>0</v>
      </c>
      <c r="F15" s="321">
        <f t="shared" si="2"/>
        <v>62.5</v>
      </c>
      <c r="G15" s="321">
        <f t="shared" si="3"/>
        <v>0</v>
      </c>
      <c r="H15" s="321">
        <f t="shared" si="4"/>
        <v>0</v>
      </c>
      <c r="I15" s="321">
        <f t="shared" si="5"/>
        <v>0</v>
      </c>
      <c r="J15" s="321">
        <f t="shared" si="6"/>
        <v>0</v>
      </c>
      <c r="K15" s="321">
        <f t="shared" si="7"/>
        <v>0</v>
      </c>
      <c r="L15" s="321">
        <f t="shared" si="8"/>
        <v>32.5</v>
      </c>
      <c r="M15" s="321">
        <f t="shared" si="9"/>
        <v>27.5</v>
      </c>
      <c r="N15" s="321">
        <f t="shared" si="10"/>
        <v>67.5</v>
      </c>
      <c r="O15" s="321">
        <f t="shared" si="11"/>
        <v>105</v>
      </c>
      <c r="P15" s="322">
        <f t="shared" si="12"/>
        <v>37.5</v>
      </c>
      <c r="Q15" s="322">
        <f t="shared" si="13"/>
        <v>60</v>
      </c>
      <c r="R15" s="322">
        <f t="shared" si="14"/>
        <v>30</v>
      </c>
      <c r="S15" s="322">
        <f t="shared" si="15"/>
        <v>0</v>
      </c>
      <c r="T15" s="677">
        <f t="shared" ref="T15:T21" si="17">SUM(C15:S15)</f>
        <v>422.5</v>
      </c>
      <c r="U15" s="320"/>
    </row>
    <row r="16" spans="1:21" s="6" customFormat="1" ht="25.5" customHeight="1">
      <c r="A16" s="252" t="s">
        <v>794</v>
      </c>
      <c r="B16" s="303" t="s">
        <v>795</v>
      </c>
      <c r="C16" s="321">
        <f t="shared" si="0"/>
        <v>0</v>
      </c>
      <c r="D16" s="321">
        <f t="shared" si="1"/>
        <v>0</v>
      </c>
      <c r="E16" s="321">
        <f t="shared" si="16"/>
        <v>0</v>
      </c>
      <c r="F16" s="321">
        <f t="shared" si="2"/>
        <v>0</v>
      </c>
      <c r="G16" s="321">
        <f t="shared" si="3"/>
        <v>0</v>
      </c>
      <c r="H16" s="321">
        <f t="shared" si="4"/>
        <v>0</v>
      </c>
      <c r="I16" s="321">
        <f t="shared" si="5"/>
        <v>0</v>
      </c>
      <c r="J16" s="321">
        <f t="shared" si="6"/>
        <v>85</v>
      </c>
      <c r="K16" s="321">
        <f t="shared" si="7"/>
        <v>75</v>
      </c>
      <c r="L16" s="321">
        <f t="shared" si="8"/>
        <v>32.5</v>
      </c>
      <c r="M16" s="321">
        <f t="shared" si="9"/>
        <v>27.5</v>
      </c>
      <c r="N16" s="321">
        <f t="shared" si="10"/>
        <v>90</v>
      </c>
      <c r="O16" s="321">
        <f t="shared" si="11"/>
        <v>35</v>
      </c>
      <c r="P16" s="322">
        <f t="shared" si="12"/>
        <v>50</v>
      </c>
      <c r="Q16" s="322">
        <f t="shared" si="13"/>
        <v>45</v>
      </c>
      <c r="R16" s="322">
        <f t="shared" si="14"/>
        <v>2.5</v>
      </c>
      <c r="S16" s="322">
        <f t="shared" si="15"/>
        <v>0</v>
      </c>
      <c r="T16" s="677">
        <f t="shared" si="17"/>
        <v>442.5</v>
      </c>
      <c r="U16" s="320"/>
    </row>
    <row r="17" spans="1:21" s="6" customFormat="1" ht="25.5" customHeight="1">
      <c r="A17" s="252" t="s">
        <v>796</v>
      </c>
      <c r="B17" s="303" t="s">
        <v>817</v>
      </c>
      <c r="C17" s="321">
        <f t="shared" si="0"/>
        <v>0</v>
      </c>
      <c r="D17" s="321">
        <f t="shared" si="1"/>
        <v>72.5</v>
      </c>
      <c r="E17" s="321">
        <f t="shared" si="16"/>
        <v>0</v>
      </c>
      <c r="F17" s="321">
        <f t="shared" si="2"/>
        <v>0</v>
      </c>
      <c r="G17" s="321">
        <f t="shared" si="3"/>
        <v>0</v>
      </c>
      <c r="H17" s="321">
        <f t="shared" si="4"/>
        <v>52.5</v>
      </c>
      <c r="I17" s="321">
        <f t="shared" si="5"/>
        <v>0</v>
      </c>
      <c r="J17" s="321">
        <f t="shared" si="6"/>
        <v>42.5</v>
      </c>
      <c r="K17" s="321">
        <f t="shared" si="7"/>
        <v>0</v>
      </c>
      <c r="L17" s="321">
        <f t="shared" si="8"/>
        <v>0</v>
      </c>
      <c r="M17" s="321">
        <f t="shared" si="9"/>
        <v>55</v>
      </c>
      <c r="N17" s="321">
        <f t="shared" si="10"/>
        <v>0</v>
      </c>
      <c r="O17" s="321">
        <f t="shared" si="11"/>
        <v>0</v>
      </c>
      <c r="P17" s="322">
        <f t="shared" si="12"/>
        <v>50</v>
      </c>
      <c r="Q17" s="322">
        <f t="shared" si="13"/>
        <v>22.5</v>
      </c>
      <c r="R17" s="322">
        <f t="shared" si="14"/>
        <v>15</v>
      </c>
      <c r="S17" s="322">
        <f t="shared" si="15"/>
        <v>0</v>
      </c>
      <c r="T17" s="677">
        <f t="shared" si="17"/>
        <v>310</v>
      </c>
      <c r="U17" s="320"/>
    </row>
    <row r="18" spans="1:21" s="6" customFormat="1" ht="25.5" customHeight="1">
      <c r="A18" s="252" t="s">
        <v>798</v>
      </c>
      <c r="B18" s="303" t="s">
        <v>799</v>
      </c>
      <c r="C18" s="321">
        <f t="shared" si="0"/>
        <v>0</v>
      </c>
      <c r="D18" s="321">
        <f t="shared" si="1"/>
        <v>0</v>
      </c>
      <c r="E18" s="321">
        <f t="shared" si="16"/>
        <v>0</v>
      </c>
      <c r="F18" s="321">
        <f t="shared" si="2"/>
        <v>62.5</v>
      </c>
      <c r="G18" s="321">
        <f t="shared" si="3"/>
        <v>0</v>
      </c>
      <c r="H18" s="321">
        <f t="shared" si="4"/>
        <v>0</v>
      </c>
      <c r="I18" s="321">
        <f t="shared" si="5"/>
        <v>0</v>
      </c>
      <c r="J18" s="321">
        <f t="shared" si="6"/>
        <v>0</v>
      </c>
      <c r="K18" s="321">
        <f t="shared" si="7"/>
        <v>0</v>
      </c>
      <c r="L18" s="321">
        <f t="shared" si="8"/>
        <v>65</v>
      </c>
      <c r="M18" s="321">
        <f t="shared" si="9"/>
        <v>0</v>
      </c>
      <c r="N18" s="321">
        <f t="shared" si="10"/>
        <v>0</v>
      </c>
      <c r="O18" s="321">
        <f t="shared" si="11"/>
        <v>87.5</v>
      </c>
      <c r="P18" s="322">
        <f t="shared" si="12"/>
        <v>125</v>
      </c>
      <c r="Q18" s="322">
        <f t="shared" si="13"/>
        <v>52.5</v>
      </c>
      <c r="R18" s="322">
        <f t="shared" si="14"/>
        <v>40</v>
      </c>
      <c r="S18" s="322">
        <f t="shared" si="15"/>
        <v>0</v>
      </c>
      <c r="T18" s="677">
        <f t="shared" si="17"/>
        <v>432.5</v>
      </c>
      <c r="U18" s="320"/>
    </row>
    <row r="19" spans="1:21" s="6" customFormat="1" ht="25.5" customHeight="1">
      <c r="A19" s="252" t="s">
        <v>800</v>
      </c>
      <c r="B19" s="303" t="s">
        <v>801</v>
      </c>
      <c r="C19" s="321">
        <f t="shared" si="0"/>
        <v>0</v>
      </c>
      <c r="D19" s="321">
        <f t="shared" si="1"/>
        <v>0</v>
      </c>
      <c r="E19" s="321">
        <f t="shared" si="16"/>
        <v>0</v>
      </c>
      <c r="F19" s="321">
        <f t="shared" si="2"/>
        <v>0</v>
      </c>
      <c r="G19" s="321">
        <f t="shared" si="3"/>
        <v>0</v>
      </c>
      <c r="H19" s="321">
        <f t="shared" si="4"/>
        <v>0</v>
      </c>
      <c r="I19" s="321">
        <f t="shared" si="5"/>
        <v>0</v>
      </c>
      <c r="J19" s="321">
        <f t="shared" si="6"/>
        <v>0</v>
      </c>
      <c r="K19" s="321">
        <f t="shared" si="7"/>
        <v>0</v>
      </c>
      <c r="L19" s="321">
        <f t="shared" si="8"/>
        <v>0</v>
      </c>
      <c r="M19" s="321">
        <f t="shared" si="9"/>
        <v>0</v>
      </c>
      <c r="N19" s="321">
        <f t="shared" si="10"/>
        <v>0</v>
      </c>
      <c r="O19" s="321">
        <f t="shared" si="11"/>
        <v>0</v>
      </c>
      <c r="P19" s="322">
        <f t="shared" si="12"/>
        <v>0</v>
      </c>
      <c r="Q19" s="322">
        <f t="shared" si="13"/>
        <v>0</v>
      </c>
      <c r="R19" s="322">
        <f t="shared" si="14"/>
        <v>0</v>
      </c>
      <c r="S19" s="322">
        <f t="shared" si="15"/>
        <v>0</v>
      </c>
      <c r="T19" s="677">
        <f t="shared" si="17"/>
        <v>0</v>
      </c>
      <c r="U19" s="320"/>
    </row>
    <row r="20" spans="1:21" s="6" customFormat="1" ht="25.5" customHeight="1">
      <c r="A20" s="252" t="s">
        <v>802</v>
      </c>
      <c r="B20" s="303" t="s">
        <v>803</v>
      </c>
      <c r="C20" s="321">
        <f t="shared" si="0"/>
        <v>79</v>
      </c>
      <c r="D20" s="321">
        <f t="shared" si="1"/>
        <v>0</v>
      </c>
      <c r="E20" s="321">
        <f t="shared" si="16"/>
        <v>0</v>
      </c>
      <c r="F20" s="321">
        <f t="shared" si="2"/>
        <v>62.5</v>
      </c>
      <c r="G20" s="321">
        <f t="shared" si="3"/>
        <v>0</v>
      </c>
      <c r="H20" s="321">
        <f t="shared" si="4"/>
        <v>0</v>
      </c>
      <c r="I20" s="321">
        <f t="shared" si="5"/>
        <v>0</v>
      </c>
      <c r="J20" s="321">
        <f t="shared" si="6"/>
        <v>0</v>
      </c>
      <c r="K20" s="321">
        <f t="shared" si="7"/>
        <v>0</v>
      </c>
      <c r="L20" s="321">
        <f t="shared" si="8"/>
        <v>65</v>
      </c>
      <c r="M20" s="321">
        <f t="shared" si="9"/>
        <v>27.5</v>
      </c>
      <c r="N20" s="321">
        <f t="shared" si="10"/>
        <v>0</v>
      </c>
      <c r="O20" s="321">
        <f t="shared" si="11"/>
        <v>17.5</v>
      </c>
      <c r="P20" s="322">
        <f t="shared" si="12"/>
        <v>0</v>
      </c>
      <c r="Q20" s="322">
        <f t="shared" si="13"/>
        <v>7.5</v>
      </c>
      <c r="R20" s="322">
        <f t="shared" si="14"/>
        <v>0</v>
      </c>
      <c r="S20" s="322">
        <f t="shared" si="15"/>
        <v>0</v>
      </c>
      <c r="T20" s="677">
        <f t="shared" si="17"/>
        <v>259</v>
      </c>
      <c r="U20" s="320"/>
    </row>
    <row r="21" spans="1:21" s="6" customFormat="1" ht="25.5" customHeight="1">
      <c r="A21" s="303"/>
      <c r="B21" s="303" t="s">
        <v>818</v>
      </c>
      <c r="C21" s="321">
        <f t="shared" si="0"/>
        <v>0</v>
      </c>
      <c r="D21" s="321">
        <f t="shared" si="1"/>
        <v>0</v>
      </c>
      <c r="E21" s="321">
        <f t="shared" si="16"/>
        <v>67.5</v>
      </c>
      <c r="F21" s="321">
        <f t="shared" si="2"/>
        <v>0</v>
      </c>
      <c r="G21" s="321">
        <f t="shared" si="3"/>
        <v>57.5</v>
      </c>
      <c r="H21" s="321">
        <f t="shared" si="4"/>
        <v>52.5</v>
      </c>
      <c r="I21" s="321">
        <f t="shared" si="5"/>
        <v>47.5</v>
      </c>
      <c r="J21" s="321">
        <f t="shared" si="6"/>
        <v>85</v>
      </c>
      <c r="K21" s="321">
        <f t="shared" si="7"/>
        <v>0</v>
      </c>
      <c r="L21" s="321">
        <f t="shared" si="8"/>
        <v>97.5</v>
      </c>
      <c r="M21" s="321">
        <f t="shared" si="9"/>
        <v>82.5</v>
      </c>
      <c r="N21" s="321">
        <f t="shared" si="10"/>
        <v>45</v>
      </c>
      <c r="O21" s="321">
        <f t="shared" si="11"/>
        <v>17.5</v>
      </c>
      <c r="P21" s="322">
        <f t="shared" si="12"/>
        <v>75</v>
      </c>
      <c r="Q21" s="322">
        <f t="shared" si="13"/>
        <v>67.5</v>
      </c>
      <c r="R21" s="322">
        <f t="shared" si="14"/>
        <v>50</v>
      </c>
      <c r="S21" s="322">
        <f t="shared" si="15"/>
        <v>0</v>
      </c>
      <c r="T21" s="677">
        <f t="shared" si="17"/>
        <v>745</v>
      </c>
      <c r="U21" s="320"/>
    </row>
    <row r="22" spans="1:21" ht="25.5" customHeight="1">
      <c r="A22" s="306"/>
      <c r="B22" s="306" t="s">
        <v>819</v>
      </c>
      <c r="C22" s="323">
        <f t="shared" ref="C22:T22" si="18">SUM(C10:C21)</f>
        <v>237</v>
      </c>
      <c r="D22" s="323">
        <f t="shared" si="18"/>
        <v>145</v>
      </c>
      <c r="E22" s="323">
        <f t="shared" si="18"/>
        <v>405</v>
      </c>
      <c r="F22" s="323">
        <f t="shared" si="18"/>
        <v>437.5</v>
      </c>
      <c r="G22" s="323">
        <f t="shared" si="18"/>
        <v>575</v>
      </c>
      <c r="H22" s="323">
        <f t="shared" si="18"/>
        <v>840</v>
      </c>
      <c r="I22" s="323">
        <f t="shared" si="18"/>
        <v>522.5</v>
      </c>
      <c r="J22" s="323">
        <f t="shared" si="18"/>
        <v>1020</v>
      </c>
      <c r="K22" s="323">
        <f t="shared" si="18"/>
        <v>862.5</v>
      </c>
      <c r="L22" s="323">
        <f t="shared" si="18"/>
        <v>1462.5</v>
      </c>
      <c r="M22" s="323">
        <f t="shared" si="18"/>
        <v>1540</v>
      </c>
      <c r="N22" s="323">
        <f t="shared" si="18"/>
        <v>1732.5</v>
      </c>
      <c r="O22" s="323">
        <f t="shared" si="18"/>
        <v>1942.5</v>
      </c>
      <c r="P22" s="323">
        <f>SUM(P10:P21)</f>
        <v>1987.5</v>
      </c>
      <c r="Q22" s="323">
        <f>SUM(Q10:Q21)</f>
        <v>1282.5</v>
      </c>
      <c r="R22" s="323">
        <f>SUM(R10:R21)</f>
        <v>522.5</v>
      </c>
      <c r="S22" s="323">
        <f t="shared" si="18"/>
        <v>0</v>
      </c>
      <c r="T22" s="310">
        <f t="shared" si="18"/>
        <v>15514.5</v>
      </c>
    </row>
    <row r="24" spans="1:21">
      <c r="A24" t="s">
        <v>841</v>
      </c>
    </row>
    <row r="41" spans="1:21">
      <c r="A41" s="294" t="s">
        <v>756</v>
      </c>
      <c r="B41" s="65"/>
      <c r="C41" s="183"/>
      <c r="D41" s="247"/>
      <c r="E41" s="247"/>
      <c r="F41" s="247"/>
      <c r="G41" s="247"/>
      <c r="H41" s="247"/>
      <c r="I41" s="247"/>
      <c r="J41" s="247"/>
      <c r="K41" s="247"/>
      <c r="L41" s="247"/>
      <c r="M41" s="247"/>
      <c r="N41" s="247"/>
      <c r="O41" s="247"/>
      <c r="P41" s="247"/>
      <c r="Q41" s="247"/>
      <c r="R41" s="247"/>
      <c r="S41" s="247"/>
      <c r="T41" s="315"/>
    </row>
    <row r="42" spans="1:21" ht="18">
      <c r="A42" s="316" t="s">
        <v>758</v>
      </c>
      <c r="B42" s="15" t="s">
        <v>759</v>
      </c>
      <c r="C42" s="317" t="s">
        <v>824</v>
      </c>
      <c r="D42" s="318" t="s">
        <v>825</v>
      </c>
      <c r="E42" s="318" t="s">
        <v>826</v>
      </c>
      <c r="F42" s="318" t="s">
        <v>827</v>
      </c>
      <c r="G42" s="318" t="s">
        <v>828</v>
      </c>
      <c r="H42" s="318" t="s">
        <v>829</v>
      </c>
      <c r="I42" s="318" t="s">
        <v>830</v>
      </c>
      <c r="J42" s="318" t="s">
        <v>831</v>
      </c>
      <c r="K42" s="318" t="s">
        <v>832</v>
      </c>
      <c r="L42" s="318" t="s">
        <v>833</v>
      </c>
      <c r="M42" s="318" t="s">
        <v>834</v>
      </c>
      <c r="N42" s="318" t="s">
        <v>835</v>
      </c>
      <c r="O42" s="318" t="s">
        <v>836</v>
      </c>
      <c r="P42" s="318" t="s">
        <v>837</v>
      </c>
      <c r="Q42" s="318" t="s">
        <v>838</v>
      </c>
      <c r="R42" s="318" t="s">
        <v>839</v>
      </c>
      <c r="S42" s="318" t="s">
        <v>840</v>
      </c>
      <c r="T42" s="319" t="s">
        <v>571</v>
      </c>
    </row>
    <row r="43" spans="1:21" ht="18" customHeight="1">
      <c r="A43" s="252" t="s">
        <v>767</v>
      </c>
      <c r="B43" s="303" t="s">
        <v>768</v>
      </c>
      <c r="C43" s="305"/>
      <c r="D43" s="305"/>
      <c r="E43" s="305"/>
      <c r="F43" s="305"/>
      <c r="G43" s="305">
        <v>1</v>
      </c>
      <c r="H43" s="305"/>
      <c r="I43" s="305"/>
      <c r="J43" s="305">
        <v>1</v>
      </c>
      <c r="K43" s="305">
        <v>3</v>
      </c>
      <c r="L43" s="305">
        <v>7</v>
      </c>
      <c r="M43" s="305">
        <v>20</v>
      </c>
      <c r="N43" s="47">
        <v>20</v>
      </c>
      <c r="O43" s="47">
        <v>24</v>
      </c>
      <c r="P43" s="47">
        <v>43</v>
      </c>
      <c r="Q43" s="47">
        <v>59</v>
      </c>
      <c r="R43" s="47">
        <v>61</v>
      </c>
      <c r="S43" s="305">
        <v>251</v>
      </c>
      <c r="T43" s="324">
        <f t="shared" ref="T43:T51" si="19">SUM(C43:S43)</f>
        <v>490</v>
      </c>
    </row>
    <row r="44" spans="1:21" ht="18" customHeight="1">
      <c r="A44" s="252" t="s">
        <v>769</v>
      </c>
      <c r="B44" s="303" t="s">
        <v>770</v>
      </c>
      <c r="C44" s="305">
        <v>2</v>
      </c>
      <c r="D44" s="305">
        <v>1</v>
      </c>
      <c r="E44" s="305">
        <v>2</v>
      </c>
      <c r="F44" s="305">
        <v>2</v>
      </c>
      <c r="G44" s="305">
        <v>2</v>
      </c>
      <c r="H44" s="305">
        <v>2</v>
      </c>
      <c r="I44" s="305">
        <v>1</v>
      </c>
      <c r="J44" s="305">
        <v>7</v>
      </c>
      <c r="K44" s="305">
        <v>5</v>
      </c>
      <c r="L44" s="305">
        <v>18</v>
      </c>
      <c r="M44" s="305">
        <v>14</v>
      </c>
      <c r="N44" s="47">
        <v>24</v>
      </c>
      <c r="O44" s="47">
        <v>42</v>
      </c>
      <c r="P44" s="47">
        <v>56</v>
      </c>
      <c r="Q44" s="47">
        <v>47</v>
      </c>
      <c r="R44" s="47">
        <v>44</v>
      </c>
      <c r="S44" s="305">
        <v>134</v>
      </c>
      <c r="T44" s="324">
        <f t="shared" si="19"/>
        <v>403</v>
      </c>
      <c r="U44" s="325"/>
    </row>
    <row r="45" spans="1:21" ht="18" customHeight="1">
      <c r="A45" s="252" t="s">
        <v>771</v>
      </c>
      <c r="B45" s="303" t="s">
        <v>772</v>
      </c>
      <c r="C45" s="305"/>
      <c r="D45" s="305"/>
      <c r="E45" s="305"/>
      <c r="F45" s="305"/>
      <c r="G45" s="305"/>
      <c r="H45" s="305"/>
      <c r="I45" s="305"/>
      <c r="J45" s="305"/>
      <c r="K45" s="305">
        <v>1</v>
      </c>
      <c r="L45" s="305"/>
      <c r="M45" s="305">
        <v>1</v>
      </c>
      <c r="N45" s="47">
        <v>3</v>
      </c>
      <c r="O45" s="47">
        <v>9</v>
      </c>
      <c r="P45" s="47">
        <v>13</v>
      </c>
      <c r="Q45" s="47">
        <v>15</v>
      </c>
      <c r="R45" s="47">
        <v>24</v>
      </c>
      <c r="S45" s="305">
        <v>101</v>
      </c>
      <c r="T45" s="324">
        <f t="shared" si="19"/>
        <v>167</v>
      </c>
    </row>
    <row r="46" spans="1:21" ht="18" customHeight="1">
      <c r="A46" s="252" t="s">
        <v>788</v>
      </c>
      <c r="B46" s="303" t="s">
        <v>789</v>
      </c>
      <c r="C46" s="305"/>
      <c r="D46" s="305"/>
      <c r="E46" s="305">
        <v>2</v>
      </c>
      <c r="F46" s="305">
        <v>2</v>
      </c>
      <c r="G46" s="305">
        <v>6</v>
      </c>
      <c r="H46" s="305">
        <v>12</v>
      </c>
      <c r="I46" s="305">
        <v>8</v>
      </c>
      <c r="J46" s="305">
        <v>11</v>
      </c>
      <c r="K46" s="305">
        <v>12</v>
      </c>
      <c r="L46" s="305">
        <v>6</v>
      </c>
      <c r="M46" s="305">
        <v>7</v>
      </c>
      <c r="N46" s="47">
        <v>8</v>
      </c>
      <c r="O46" s="47">
        <v>12</v>
      </c>
      <c r="P46" s="47">
        <v>5</v>
      </c>
      <c r="Q46" s="47">
        <v>2</v>
      </c>
      <c r="R46" s="47">
        <v>8</v>
      </c>
      <c r="S46" s="305">
        <v>20</v>
      </c>
      <c r="T46" s="324">
        <f t="shared" si="19"/>
        <v>121</v>
      </c>
    </row>
    <row r="47" spans="1:21" ht="18" customHeight="1">
      <c r="A47" s="252" t="s">
        <v>790</v>
      </c>
      <c r="B47" s="303" t="s">
        <v>791</v>
      </c>
      <c r="C47" s="305"/>
      <c r="D47" s="305"/>
      <c r="E47" s="305">
        <v>1</v>
      </c>
      <c r="F47" s="305"/>
      <c r="G47" s="305"/>
      <c r="H47" s="305"/>
      <c r="I47" s="305">
        <v>1</v>
      </c>
      <c r="J47" s="305"/>
      <c r="K47" s="305"/>
      <c r="L47" s="305">
        <v>5</v>
      </c>
      <c r="M47" s="305">
        <v>6</v>
      </c>
      <c r="N47" s="47">
        <v>13</v>
      </c>
      <c r="O47" s="47">
        <v>9</v>
      </c>
      <c r="P47" s="47">
        <v>15</v>
      </c>
      <c r="Q47" s="47">
        <v>14</v>
      </c>
      <c r="R47" s="47">
        <v>17</v>
      </c>
      <c r="S47" s="305">
        <v>28</v>
      </c>
      <c r="T47" s="324">
        <f t="shared" si="19"/>
        <v>109</v>
      </c>
    </row>
    <row r="48" spans="1:21" ht="18" customHeight="1">
      <c r="A48" s="252" t="s">
        <v>792</v>
      </c>
      <c r="B48" s="303" t="s">
        <v>793</v>
      </c>
      <c r="C48" s="305"/>
      <c r="D48" s="305"/>
      <c r="E48" s="305"/>
      <c r="F48" s="305">
        <v>1</v>
      </c>
      <c r="G48" s="305"/>
      <c r="H48" s="305"/>
      <c r="I48" s="305"/>
      <c r="J48" s="305"/>
      <c r="K48" s="305"/>
      <c r="L48" s="305">
        <v>1</v>
      </c>
      <c r="M48" s="305">
        <v>1</v>
      </c>
      <c r="N48" s="47">
        <v>3</v>
      </c>
      <c r="O48" s="47">
        <v>6</v>
      </c>
      <c r="P48" s="47">
        <v>3</v>
      </c>
      <c r="Q48" s="47">
        <v>8</v>
      </c>
      <c r="R48" s="47">
        <v>12</v>
      </c>
      <c r="S48" s="305">
        <v>39</v>
      </c>
      <c r="T48" s="324">
        <f t="shared" si="19"/>
        <v>74</v>
      </c>
    </row>
    <row r="49" spans="1:22" ht="18" customHeight="1">
      <c r="A49" s="252" t="s">
        <v>794</v>
      </c>
      <c r="B49" s="303" t="s">
        <v>795</v>
      </c>
      <c r="C49" s="305"/>
      <c r="D49" s="305"/>
      <c r="E49" s="305"/>
      <c r="F49" s="305"/>
      <c r="G49" s="305"/>
      <c r="H49" s="305"/>
      <c r="I49" s="305"/>
      <c r="J49" s="305">
        <v>2</v>
      </c>
      <c r="K49" s="305">
        <v>2</v>
      </c>
      <c r="L49" s="305">
        <v>1</v>
      </c>
      <c r="M49" s="305">
        <v>1</v>
      </c>
      <c r="N49" s="47">
        <v>4</v>
      </c>
      <c r="O49" s="47">
        <v>2</v>
      </c>
      <c r="P49" s="47">
        <v>4</v>
      </c>
      <c r="Q49" s="47">
        <v>6</v>
      </c>
      <c r="R49" s="47">
        <v>1</v>
      </c>
      <c r="S49" s="305">
        <v>12</v>
      </c>
      <c r="T49" s="324">
        <f t="shared" si="19"/>
        <v>35</v>
      </c>
    </row>
    <row r="50" spans="1:22" ht="18" customHeight="1">
      <c r="A50" s="252" t="s">
        <v>796</v>
      </c>
      <c r="B50" s="303" t="s">
        <v>817</v>
      </c>
      <c r="C50" s="305"/>
      <c r="D50" s="305">
        <v>1</v>
      </c>
      <c r="E50" s="305"/>
      <c r="F50" s="305"/>
      <c r="G50" s="305"/>
      <c r="H50" s="305">
        <v>1</v>
      </c>
      <c r="I50" s="305"/>
      <c r="J50" s="305">
        <v>1</v>
      </c>
      <c r="K50" s="305"/>
      <c r="L50" s="305"/>
      <c r="M50" s="305">
        <v>2</v>
      </c>
      <c r="N50" s="47"/>
      <c r="O50" s="47"/>
      <c r="P50" s="47">
        <v>4</v>
      </c>
      <c r="Q50" s="47">
        <v>3</v>
      </c>
      <c r="R50" s="47">
        <v>6</v>
      </c>
      <c r="S50" s="305">
        <v>65</v>
      </c>
      <c r="T50" s="324">
        <f t="shared" si="19"/>
        <v>83</v>
      </c>
    </row>
    <row r="51" spans="1:22" ht="18" customHeight="1">
      <c r="A51" s="252" t="s">
        <v>798</v>
      </c>
      <c r="B51" s="303" t="s">
        <v>799</v>
      </c>
      <c r="C51" s="305"/>
      <c r="D51" s="305"/>
      <c r="E51" s="305"/>
      <c r="F51" s="305">
        <v>1</v>
      </c>
      <c r="G51" s="305"/>
      <c r="H51" s="305"/>
      <c r="I51" s="305"/>
      <c r="J51" s="305"/>
      <c r="K51" s="305"/>
      <c r="L51" s="305">
        <v>2</v>
      </c>
      <c r="M51" s="305"/>
      <c r="N51" s="47"/>
      <c r="O51" s="47">
        <v>5</v>
      </c>
      <c r="P51" s="47">
        <v>10</v>
      </c>
      <c r="Q51" s="47">
        <v>7</v>
      </c>
      <c r="R51" s="47">
        <v>16</v>
      </c>
      <c r="S51" s="305">
        <v>38</v>
      </c>
      <c r="T51" s="324">
        <f t="shared" si="19"/>
        <v>79</v>
      </c>
    </row>
    <row r="52" spans="1:22" ht="18" customHeight="1">
      <c r="A52" s="252" t="s">
        <v>800</v>
      </c>
      <c r="B52" s="303" t="s">
        <v>801</v>
      </c>
      <c r="C52" s="305"/>
      <c r="D52" s="305"/>
      <c r="E52" s="305"/>
      <c r="F52" s="305"/>
      <c r="G52" s="305"/>
      <c r="H52" s="305"/>
      <c r="I52" s="305"/>
      <c r="J52" s="305"/>
      <c r="K52" s="305"/>
      <c r="L52" s="305"/>
      <c r="M52" s="305"/>
      <c r="N52" s="47"/>
      <c r="O52" s="47"/>
      <c r="P52" s="47"/>
      <c r="Q52" s="47"/>
      <c r="R52" s="47"/>
      <c r="S52" s="305"/>
      <c r="T52" s="324">
        <f>SUM(H52:S52)</f>
        <v>0</v>
      </c>
    </row>
    <row r="53" spans="1:22" ht="18" customHeight="1">
      <c r="A53" s="252" t="s">
        <v>802</v>
      </c>
      <c r="B53" s="303" t="s">
        <v>803</v>
      </c>
      <c r="C53" s="305">
        <v>1</v>
      </c>
      <c r="D53" s="305"/>
      <c r="E53" s="305"/>
      <c r="F53" s="305">
        <v>1</v>
      </c>
      <c r="G53" s="305"/>
      <c r="H53" s="305"/>
      <c r="I53" s="305"/>
      <c r="J53" s="305"/>
      <c r="K53" s="305"/>
      <c r="L53" s="305">
        <v>2</v>
      </c>
      <c r="M53" s="305">
        <v>1</v>
      </c>
      <c r="N53" s="47"/>
      <c r="O53" s="47">
        <v>1</v>
      </c>
      <c r="P53" s="47"/>
      <c r="Q53" s="47">
        <v>1</v>
      </c>
      <c r="R53" s="47"/>
      <c r="S53" s="305"/>
      <c r="T53" s="324">
        <f>SUM(C53:S53)</f>
        <v>7</v>
      </c>
    </row>
    <row r="54" spans="1:22" ht="18" customHeight="1">
      <c r="A54" s="303"/>
      <c r="B54" s="303" t="s">
        <v>818</v>
      </c>
      <c r="C54" s="305"/>
      <c r="D54" s="305"/>
      <c r="E54" s="305">
        <v>1</v>
      </c>
      <c r="F54" s="305"/>
      <c r="G54" s="305">
        <v>1</v>
      </c>
      <c r="H54" s="305">
        <v>1</v>
      </c>
      <c r="I54" s="305">
        <v>1</v>
      </c>
      <c r="J54" s="305">
        <v>2</v>
      </c>
      <c r="K54" s="305"/>
      <c r="L54" s="305">
        <v>3</v>
      </c>
      <c r="M54" s="305">
        <v>3</v>
      </c>
      <c r="N54" s="47">
        <v>2</v>
      </c>
      <c r="O54" s="47">
        <v>1</v>
      </c>
      <c r="P54" s="47">
        <v>6</v>
      </c>
      <c r="Q54" s="47">
        <v>9</v>
      </c>
      <c r="R54" s="47">
        <v>20</v>
      </c>
      <c r="S54" s="305">
        <v>60</v>
      </c>
      <c r="T54" s="324">
        <f>SUM(C54:S54)</f>
        <v>110</v>
      </c>
    </row>
    <row r="55" spans="1:22">
      <c r="A55" s="306"/>
      <c r="B55" s="306" t="s">
        <v>819</v>
      </c>
      <c r="C55" s="308">
        <f t="shared" ref="C55:T55" si="20">SUM(C43:C54)</f>
        <v>3</v>
      </c>
      <c r="D55" s="308">
        <f t="shared" si="20"/>
        <v>2</v>
      </c>
      <c r="E55" s="308">
        <f>SUM(E43:E54)</f>
        <v>6</v>
      </c>
      <c r="F55" s="308">
        <f t="shared" si="20"/>
        <v>7</v>
      </c>
      <c r="G55" s="308">
        <f t="shared" si="20"/>
        <v>10</v>
      </c>
      <c r="H55" s="308">
        <f t="shared" si="20"/>
        <v>16</v>
      </c>
      <c r="I55" s="308">
        <f t="shared" si="20"/>
        <v>11</v>
      </c>
      <c r="J55" s="308">
        <f t="shared" si="20"/>
        <v>24</v>
      </c>
      <c r="K55" s="308">
        <f t="shared" si="20"/>
        <v>23</v>
      </c>
      <c r="L55" s="308">
        <f t="shared" si="20"/>
        <v>45</v>
      </c>
      <c r="M55" s="308">
        <f t="shared" si="20"/>
        <v>56</v>
      </c>
      <c r="N55" s="308">
        <f t="shared" si="20"/>
        <v>77</v>
      </c>
      <c r="O55" s="308">
        <f t="shared" si="20"/>
        <v>111</v>
      </c>
      <c r="P55" s="308">
        <f t="shared" si="20"/>
        <v>159</v>
      </c>
      <c r="Q55" s="308">
        <f t="shared" si="20"/>
        <v>171</v>
      </c>
      <c r="R55" s="308">
        <f t="shared" si="20"/>
        <v>209</v>
      </c>
      <c r="S55" s="308">
        <f t="shared" si="20"/>
        <v>748</v>
      </c>
      <c r="T55" s="326">
        <f t="shared" si="20"/>
        <v>1678</v>
      </c>
      <c r="V55" s="1132"/>
    </row>
    <row r="56" spans="1:22">
      <c r="B56" s="327" t="s">
        <v>842</v>
      </c>
      <c r="L56" s="328"/>
      <c r="S56" s="328"/>
    </row>
  </sheetData>
  <mergeCells count="3">
    <mergeCell ref="A1:T1"/>
    <mergeCell ref="A3:T3"/>
    <mergeCell ref="A4:T4"/>
  </mergeCells>
  <phoneticPr fontId="19" type="noConversion"/>
  <pageMargins left="0.98425196850393704" right="0" top="1.3779527559055118" bottom="0.78740157480314965" header="0.51181102362204722" footer="0.51181102362204722"/>
  <pageSetup paperSize="5" scale="70" orientation="landscape" horizontalDpi="300" verticalDpi="300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72"/>
  <sheetViews>
    <sheetView showGridLines="0" topLeftCell="A34" zoomScale="75" workbookViewId="0">
      <selection activeCell="G72" sqref="G72"/>
    </sheetView>
  </sheetViews>
  <sheetFormatPr baseColWidth="10" defaultRowHeight="12.75"/>
  <cols>
    <col min="2" max="2" width="17.42578125" customWidth="1"/>
    <col min="3" max="3" width="10.7109375" customWidth="1"/>
    <col min="4" max="5" width="10.28515625" customWidth="1"/>
    <col min="6" max="6" width="10.5703125" customWidth="1"/>
    <col min="7" max="7" width="10.140625" customWidth="1"/>
    <col min="8" max="8" width="9.85546875" customWidth="1"/>
  </cols>
  <sheetData>
    <row r="1" spans="1:8">
      <c r="A1" s="83" t="s">
        <v>845</v>
      </c>
      <c r="B1" s="117"/>
      <c r="C1" s="117"/>
      <c r="D1" s="117"/>
      <c r="E1" s="117"/>
      <c r="F1" s="117"/>
      <c r="G1" s="117"/>
      <c r="H1" s="1"/>
    </row>
    <row r="2" spans="1:8">
      <c r="A2" s="83"/>
      <c r="B2" s="117"/>
      <c r="C2" s="117"/>
      <c r="D2" s="117"/>
      <c r="E2" s="117"/>
      <c r="F2" s="117"/>
      <c r="G2" s="117"/>
      <c r="H2" s="1"/>
    </row>
    <row r="3" spans="1:8">
      <c r="A3" s="83" t="s">
        <v>846</v>
      </c>
      <c r="B3" s="117"/>
      <c r="C3" s="117"/>
      <c r="D3" s="117"/>
      <c r="E3" s="117"/>
      <c r="F3" s="117"/>
      <c r="G3" s="117"/>
      <c r="H3" s="1"/>
    </row>
    <row r="4" spans="1:8">
      <c r="A4" s="83"/>
      <c r="B4" s="117"/>
      <c r="C4" s="117"/>
      <c r="D4" s="117"/>
      <c r="E4" s="117"/>
      <c r="F4" s="117"/>
      <c r="G4" s="117"/>
      <c r="H4" s="1"/>
    </row>
    <row r="5" spans="1:8" ht="12" customHeight="1">
      <c r="A5" s="83">
        <v>2014</v>
      </c>
      <c r="B5" s="117"/>
      <c r="C5" s="117"/>
      <c r="D5" s="117"/>
      <c r="E5" s="117"/>
      <c r="F5" s="117"/>
      <c r="G5" s="117"/>
      <c r="H5" s="1"/>
    </row>
    <row r="6" spans="1:8">
      <c r="A6" s="117"/>
      <c r="B6" s="117"/>
      <c r="C6" s="117"/>
      <c r="D6" s="117"/>
      <c r="E6" s="117"/>
      <c r="F6" s="117"/>
      <c r="G6" s="117"/>
      <c r="H6" s="1"/>
    </row>
    <row r="7" spans="1:8">
      <c r="A7" s="117"/>
      <c r="B7" s="117"/>
      <c r="C7" s="117"/>
      <c r="D7" s="117"/>
      <c r="E7" s="117"/>
      <c r="F7" s="117"/>
      <c r="G7" s="117"/>
      <c r="H7" s="1"/>
    </row>
    <row r="10" spans="1:8">
      <c r="A10" s="330"/>
      <c r="B10" s="315"/>
      <c r="C10" s="183"/>
      <c r="D10" s="315"/>
      <c r="E10" s="183"/>
      <c r="F10" s="315"/>
      <c r="G10" s="183"/>
      <c r="H10" s="315"/>
    </row>
    <row r="11" spans="1:8">
      <c r="A11" s="331"/>
      <c r="B11" s="197"/>
      <c r="C11" s="200" t="s">
        <v>847</v>
      </c>
      <c r="D11" s="332"/>
      <c r="E11" s="200" t="s">
        <v>715</v>
      </c>
      <c r="F11" s="332"/>
      <c r="G11" s="200" t="s">
        <v>848</v>
      </c>
      <c r="H11" s="332"/>
    </row>
    <row r="12" spans="1:8">
      <c r="A12" s="331" t="s">
        <v>849</v>
      </c>
      <c r="B12" s="197"/>
      <c r="C12" s="200" t="s">
        <v>850</v>
      </c>
      <c r="D12" s="332" t="s">
        <v>737</v>
      </c>
      <c r="E12" s="200" t="s">
        <v>850</v>
      </c>
      <c r="F12" s="332" t="s">
        <v>737</v>
      </c>
      <c r="G12" s="200" t="s">
        <v>850</v>
      </c>
      <c r="H12" s="332" t="s">
        <v>737</v>
      </c>
    </row>
    <row r="13" spans="1:8">
      <c r="A13" s="333"/>
      <c r="B13" s="334"/>
      <c r="C13" s="333"/>
      <c r="D13" s="334"/>
      <c r="E13" s="333"/>
      <c r="F13" s="334"/>
      <c r="G13" s="333"/>
      <c r="H13" s="334"/>
    </row>
    <row r="14" spans="1:8" s="6" customFormat="1" ht="24" customHeight="1">
      <c r="A14" s="53" t="s">
        <v>861</v>
      </c>
      <c r="B14" s="143"/>
      <c r="C14" s="47">
        <v>1</v>
      </c>
      <c r="D14" s="337">
        <f t="shared" ref="D14:D45" si="0">+C14/C$72*100000</f>
        <v>5.6462072957580494E-3</v>
      </c>
      <c r="E14" s="45"/>
      <c r="F14" s="337">
        <f>+E14/E$72*100000</f>
        <v>0</v>
      </c>
      <c r="G14" s="47"/>
      <c r="H14" s="337">
        <f>+G14/G$72*100000</f>
        <v>0</v>
      </c>
    </row>
    <row r="15" spans="1:8" s="6" customFormat="1" ht="24" customHeight="1">
      <c r="A15" s="53" t="s">
        <v>272</v>
      </c>
      <c r="B15" s="143"/>
      <c r="C15" s="47">
        <v>2</v>
      </c>
      <c r="D15" s="337">
        <f t="shared" si="0"/>
        <v>1.1292414591516099E-2</v>
      </c>
      <c r="E15" s="45"/>
      <c r="F15" s="337">
        <f>+E15/E$72*100000</f>
        <v>0</v>
      </c>
      <c r="G15" s="47"/>
      <c r="H15" s="337">
        <f>+G15/G$72*100000</f>
        <v>0</v>
      </c>
    </row>
    <row r="16" spans="1:8" s="6" customFormat="1" ht="24" customHeight="1">
      <c r="A16" s="53" t="s">
        <v>856</v>
      </c>
      <c r="B16" s="143"/>
      <c r="C16" s="47">
        <v>79</v>
      </c>
      <c r="D16" s="337">
        <f t="shared" si="0"/>
        <v>0.44605037636488593</v>
      </c>
      <c r="E16" s="45">
        <v>1</v>
      </c>
      <c r="F16" s="337">
        <f t="shared" ref="F16:F44" si="1">+E16/E$72*100000</f>
        <v>5.4573862721631276E-2</v>
      </c>
      <c r="G16" s="47"/>
      <c r="H16" s="337">
        <f t="shared" ref="H16:H44" si="2">+G16/G$72*100000</f>
        <v>0</v>
      </c>
    </row>
    <row r="17" spans="1:8" s="6" customFormat="1" ht="24" customHeight="1">
      <c r="A17" s="53" t="s">
        <v>273</v>
      </c>
      <c r="B17" s="143"/>
      <c r="C17" s="47">
        <v>12</v>
      </c>
      <c r="D17" s="337">
        <f t="shared" si="0"/>
        <v>6.775448754909659E-2</v>
      </c>
      <c r="E17" s="45">
        <v>3</v>
      </c>
      <c r="F17" s="337">
        <f t="shared" si="1"/>
        <v>0.16372158816489382</v>
      </c>
      <c r="G17" s="47">
        <v>1</v>
      </c>
      <c r="H17" s="337">
        <f t="shared" si="2"/>
        <v>0.3650061321030193</v>
      </c>
    </row>
    <row r="18" spans="1:8" s="6" customFormat="1" ht="24" customHeight="1">
      <c r="A18" s="53" t="s">
        <v>869</v>
      </c>
      <c r="B18" s="143"/>
      <c r="C18" s="47">
        <v>23</v>
      </c>
      <c r="D18" s="337">
        <f t="shared" si="0"/>
        <v>0.12986276780243514</v>
      </c>
      <c r="E18" s="45">
        <v>1</v>
      </c>
      <c r="F18" s="337">
        <f t="shared" si="1"/>
        <v>5.4573862721631276E-2</v>
      </c>
      <c r="G18" s="47"/>
      <c r="H18" s="337">
        <f t="shared" si="2"/>
        <v>0</v>
      </c>
    </row>
    <row r="19" spans="1:8" s="6" customFormat="1" ht="24" customHeight="1">
      <c r="A19" s="53" t="s">
        <v>274</v>
      </c>
      <c r="B19" s="143"/>
      <c r="C19" s="47">
        <v>12</v>
      </c>
      <c r="D19" s="337">
        <f t="shared" si="0"/>
        <v>6.775448754909659E-2</v>
      </c>
      <c r="E19" s="45">
        <v>4</v>
      </c>
      <c r="F19" s="337">
        <f t="shared" si="1"/>
        <v>0.21829545088652511</v>
      </c>
      <c r="G19" s="47"/>
      <c r="H19" s="337">
        <f t="shared" si="2"/>
        <v>0</v>
      </c>
    </row>
    <row r="20" spans="1:8" s="6" customFormat="1" ht="24" customHeight="1">
      <c r="A20" s="53" t="s">
        <v>275</v>
      </c>
      <c r="B20" s="143"/>
      <c r="C20" s="47">
        <v>142</v>
      </c>
      <c r="D20" s="337">
        <f t="shared" si="0"/>
        <v>0.80176143599764305</v>
      </c>
      <c r="E20" s="45">
        <v>19</v>
      </c>
      <c r="F20" s="337">
        <f t="shared" si="1"/>
        <v>1.0369033917109944</v>
      </c>
      <c r="G20" s="47">
        <v>2</v>
      </c>
      <c r="H20" s="337">
        <f t="shared" si="2"/>
        <v>0.7300122642060386</v>
      </c>
    </row>
    <row r="21" spans="1:8" s="6" customFormat="1" ht="24" customHeight="1">
      <c r="A21" s="53" t="s">
        <v>276</v>
      </c>
      <c r="B21" s="143"/>
      <c r="C21" s="47">
        <v>226</v>
      </c>
      <c r="D21" s="337">
        <f t="shared" si="0"/>
        <v>1.2760428488413194</v>
      </c>
      <c r="E21" s="45">
        <v>15</v>
      </c>
      <c r="F21" s="337">
        <f t="shared" si="1"/>
        <v>0.81860794082446919</v>
      </c>
      <c r="G21" s="47"/>
      <c r="H21" s="337">
        <f t="shared" si="2"/>
        <v>0</v>
      </c>
    </row>
    <row r="22" spans="1:8" s="6" customFormat="1" ht="24" customHeight="1">
      <c r="A22" s="53" t="s">
        <v>860</v>
      </c>
      <c r="B22" s="143"/>
      <c r="C22" s="47">
        <v>2177</v>
      </c>
      <c r="D22" s="337">
        <f t="shared" si="0"/>
        <v>12.291793282865273</v>
      </c>
      <c r="E22" s="45">
        <v>193</v>
      </c>
      <c r="F22" s="337">
        <f t="shared" si="1"/>
        <v>10.532755505274837</v>
      </c>
      <c r="G22" s="47">
        <v>19</v>
      </c>
      <c r="H22" s="337">
        <f t="shared" si="2"/>
        <v>6.9351165099573668</v>
      </c>
    </row>
    <row r="23" spans="1:8" s="6" customFormat="1" ht="24" customHeight="1">
      <c r="A23" s="53" t="s">
        <v>865</v>
      </c>
      <c r="B23" s="143"/>
      <c r="C23" s="336">
        <v>1467</v>
      </c>
      <c r="D23" s="337">
        <f t="shared" si="0"/>
        <v>8.2829861028770591</v>
      </c>
      <c r="E23" s="45">
        <v>124</v>
      </c>
      <c r="F23" s="337">
        <f t="shared" si="1"/>
        <v>6.7671589774822776</v>
      </c>
      <c r="G23" s="47">
        <v>10</v>
      </c>
      <c r="H23" s="337">
        <f t="shared" si="2"/>
        <v>3.6500613210301931</v>
      </c>
    </row>
    <row r="24" spans="1:8" s="6" customFormat="1" ht="24" customHeight="1">
      <c r="A24" s="53" t="s">
        <v>864</v>
      </c>
      <c r="B24" s="143"/>
      <c r="C24" s="336">
        <v>4308</v>
      </c>
      <c r="D24" s="337">
        <f t="shared" si="0"/>
        <v>24.323861030125677</v>
      </c>
      <c r="E24" s="45">
        <v>722</v>
      </c>
      <c r="F24" s="337">
        <f t="shared" si="1"/>
        <v>39.402328885017788</v>
      </c>
      <c r="G24" s="47">
        <v>46</v>
      </c>
      <c r="H24" s="337">
        <f t="shared" si="2"/>
        <v>16.79028207673889</v>
      </c>
    </row>
    <row r="25" spans="1:8" s="6" customFormat="1" ht="24" customHeight="1">
      <c r="A25" s="53" t="s">
        <v>851</v>
      </c>
      <c r="B25" s="143"/>
      <c r="C25" s="336"/>
      <c r="D25" s="337">
        <f t="shared" si="0"/>
        <v>0</v>
      </c>
      <c r="E25" s="45"/>
      <c r="F25" s="337">
        <f t="shared" si="1"/>
        <v>0</v>
      </c>
      <c r="G25" s="47"/>
      <c r="H25" s="337">
        <f t="shared" si="2"/>
        <v>0</v>
      </c>
    </row>
    <row r="26" spans="1:8" s="6" customFormat="1" ht="24" customHeight="1">
      <c r="A26" s="53" t="s">
        <v>866</v>
      </c>
      <c r="B26" s="143"/>
      <c r="C26" s="336">
        <v>861</v>
      </c>
      <c r="D26" s="337">
        <f t="shared" si="0"/>
        <v>4.861384481647681</v>
      </c>
      <c r="E26" s="45">
        <v>53</v>
      </c>
      <c r="F26" s="337">
        <f t="shared" si="1"/>
        <v>2.892414724246458</v>
      </c>
      <c r="G26" s="47">
        <v>15</v>
      </c>
      <c r="H26" s="337">
        <f t="shared" si="2"/>
        <v>5.4750919815452903</v>
      </c>
    </row>
    <row r="27" spans="1:8" s="6" customFormat="1" ht="24" customHeight="1">
      <c r="A27" s="53" t="s">
        <v>855</v>
      </c>
      <c r="B27" s="143"/>
      <c r="C27" s="336"/>
      <c r="D27" s="337">
        <f t="shared" si="0"/>
        <v>0</v>
      </c>
      <c r="E27" s="45"/>
      <c r="F27" s="337">
        <f t="shared" si="1"/>
        <v>0</v>
      </c>
      <c r="G27" s="47"/>
      <c r="H27" s="337">
        <f t="shared" si="2"/>
        <v>0</v>
      </c>
    </row>
    <row r="28" spans="1:8" s="6" customFormat="1" ht="24" customHeight="1">
      <c r="A28" s="53" t="s">
        <v>277</v>
      </c>
      <c r="B28" s="143"/>
      <c r="C28" s="336"/>
      <c r="D28" s="337">
        <f t="shared" si="0"/>
        <v>0</v>
      </c>
      <c r="E28" s="45"/>
      <c r="F28" s="337">
        <f t="shared" si="1"/>
        <v>0</v>
      </c>
      <c r="G28" s="47"/>
      <c r="H28" s="337">
        <f t="shared" si="2"/>
        <v>0</v>
      </c>
    </row>
    <row r="29" spans="1:8" s="6" customFormat="1" ht="24" customHeight="1">
      <c r="A29" s="53" t="s">
        <v>854</v>
      </c>
      <c r="B29" s="143"/>
      <c r="C29" s="336">
        <v>7</v>
      </c>
      <c r="D29" s="337">
        <f t="shared" si="0"/>
        <v>3.9523451070306345E-2</v>
      </c>
      <c r="E29" s="45">
        <v>1</v>
      </c>
      <c r="F29" s="337">
        <f t="shared" si="1"/>
        <v>5.4573862721631276E-2</v>
      </c>
      <c r="G29" s="47"/>
      <c r="H29" s="337">
        <f t="shared" si="2"/>
        <v>0</v>
      </c>
    </row>
    <row r="30" spans="1:8" s="6" customFormat="1" ht="24" customHeight="1">
      <c r="A30" s="53" t="s">
        <v>853</v>
      </c>
      <c r="B30" s="143"/>
      <c r="C30" s="47"/>
      <c r="D30" s="337">
        <f t="shared" si="0"/>
        <v>0</v>
      </c>
      <c r="E30" s="45"/>
      <c r="F30" s="337">
        <f t="shared" si="1"/>
        <v>0</v>
      </c>
      <c r="G30" s="47"/>
      <c r="H30" s="337">
        <f t="shared" si="2"/>
        <v>0</v>
      </c>
    </row>
    <row r="31" spans="1:8" s="6" customFormat="1" ht="24" customHeight="1">
      <c r="A31" s="53" t="s">
        <v>852</v>
      </c>
      <c r="B31" s="143"/>
      <c r="C31" s="336">
        <v>1128</v>
      </c>
      <c r="D31" s="337">
        <f t="shared" si="0"/>
        <v>6.36892182961508</v>
      </c>
      <c r="E31" s="45">
        <v>141</v>
      </c>
      <c r="F31" s="337">
        <f t="shared" si="1"/>
        <v>7.6949146437500104</v>
      </c>
      <c r="G31" s="47">
        <v>9</v>
      </c>
      <c r="H31" s="337">
        <f t="shared" si="2"/>
        <v>3.2850551889271742</v>
      </c>
    </row>
    <row r="32" spans="1:8" s="6" customFormat="1" ht="24" customHeight="1">
      <c r="A32" s="53" t="s">
        <v>857</v>
      </c>
      <c r="B32" s="143"/>
      <c r="C32" s="336">
        <v>1193</v>
      </c>
      <c r="D32" s="337">
        <f t="shared" si="0"/>
        <v>6.7359253038393536</v>
      </c>
      <c r="E32" s="45">
        <v>6</v>
      </c>
      <c r="F32" s="337">
        <f t="shared" si="1"/>
        <v>0.32744317632978764</v>
      </c>
      <c r="G32" s="47">
        <v>5</v>
      </c>
      <c r="H32" s="337">
        <f t="shared" si="2"/>
        <v>1.8250306605150965</v>
      </c>
    </row>
    <row r="33" spans="1:8" s="6" customFormat="1" ht="24" customHeight="1">
      <c r="A33" s="53" t="s">
        <v>858</v>
      </c>
      <c r="B33" s="143"/>
      <c r="C33" s="336">
        <v>1201</v>
      </c>
      <c r="D33" s="337">
        <f t="shared" si="0"/>
        <v>6.7810949622054171</v>
      </c>
      <c r="E33" s="45">
        <v>73</v>
      </c>
      <c r="F33" s="337">
        <f t="shared" si="1"/>
        <v>3.9838919786790834</v>
      </c>
      <c r="G33" s="47">
        <v>9</v>
      </c>
      <c r="H33" s="337">
        <f t="shared" si="2"/>
        <v>3.2850551889271742</v>
      </c>
    </row>
    <row r="34" spans="1:8" s="6" customFormat="1" ht="24" customHeight="1">
      <c r="A34" s="53" t="s">
        <v>271</v>
      </c>
      <c r="B34" s="143"/>
      <c r="C34" s="336">
        <v>440</v>
      </c>
      <c r="D34" s="337">
        <f t="shared" si="0"/>
        <v>2.4843312101335417</v>
      </c>
      <c r="E34" s="45">
        <v>39</v>
      </c>
      <c r="F34" s="337">
        <f t="shared" si="1"/>
        <v>2.1283806461436199</v>
      </c>
      <c r="G34" s="47">
        <v>3</v>
      </c>
      <c r="H34" s="337">
        <f t="shared" si="2"/>
        <v>1.0950183963090581</v>
      </c>
    </row>
    <row r="35" spans="1:8" s="6" customFormat="1" ht="24" customHeight="1">
      <c r="A35" s="53" t="s">
        <v>859</v>
      </c>
      <c r="B35" s="143"/>
      <c r="C35" s="336">
        <v>164</v>
      </c>
      <c r="D35" s="337">
        <f t="shared" si="0"/>
        <v>0.92597799650432022</v>
      </c>
      <c r="E35" s="45"/>
      <c r="F35" s="337">
        <f t="shared" si="1"/>
        <v>0</v>
      </c>
      <c r="G35" s="47"/>
      <c r="H35" s="337">
        <f t="shared" si="2"/>
        <v>0</v>
      </c>
    </row>
    <row r="36" spans="1:8" s="6" customFormat="1" ht="24" customHeight="1">
      <c r="A36" s="53" t="s">
        <v>862</v>
      </c>
      <c r="B36" s="143"/>
      <c r="C36" s="336">
        <v>2</v>
      </c>
      <c r="D36" s="337">
        <f t="shared" si="0"/>
        <v>1.1292414591516099E-2</v>
      </c>
      <c r="E36" s="45"/>
      <c r="F36" s="337">
        <f t="shared" si="1"/>
        <v>0</v>
      </c>
      <c r="G36" s="47"/>
      <c r="H36" s="337">
        <f t="shared" si="2"/>
        <v>0</v>
      </c>
    </row>
    <row r="37" spans="1:8" s="6" customFormat="1" ht="24" customHeight="1">
      <c r="A37" s="53" t="s">
        <v>871</v>
      </c>
      <c r="B37" s="143"/>
      <c r="C37" s="336">
        <v>32</v>
      </c>
      <c r="D37" s="337">
        <f t="shared" si="0"/>
        <v>0.18067863346425758</v>
      </c>
      <c r="E37" s="45">
        <v>4</v>
      </c>
      <c r="F37" s="337">
        <f t="shared" si="1"/>
        <v>0.21829545088652511</v>
      </c>
      <c r="G37" s="47"/>
      <c r="H37" s="337">
        <f t="shared" si="2"/>
        <v>0</v>
      </c>
    </row>
    <row r="38" spans="1:8" s="6" customFormat="1" ht="24" customHeight="1">
      <c r="A38" s="53" t="s">
        <v>278</v>
      </c>
      <c r="B38" s="143"/>
      <c r="C38" s="336">
        <v>128</v>
      </c>
      <c r="D38" s="337">
        <f t="shared" si="0"/>
        <v>0.72271453385703033</v>
      </c>
      <c r="E38" s="45">
        <v>15</v>
      </c>
      <c r="F38" s="337">
        <f t="shared" si="1"/>
        <v>0.81860794082446919</v>
      </c>
      <c r="G38" s="47"/>
      <c r="H38" s="337">
        <f t="shared" si="2"/>
        <v>0</v>
      </c>
    </row>
    <row r="39" spans="1:8" s="6" customFormat="1" ht="24" customHeight="1">
      <c r="A39" s="53" t="s">
        <v>1341</v>
      </c>
      <c r="B39" s="143"/>
      <c r="C39" s="336">
        <v>3</v>
      </c>
      <c r="D39" s="337">
        <f t="shared" si="0"/>
        <v>1.6938621887274147E-2</v>
      </c>
      <c r="E39" s="45">
        <v>3</v>
      </c>
      <c r="F39" s="337">
        <f t="shared" si="1"/>
        <v>0.16372158816489382</v>
      </c>
      <c r="G39" s="47">
        <v>1</v>
      </c>
      <c r="H39" s="337">
        <f t="shared" si="2"/>
        <v>0.3650061321030193</v>
      </c>
    </row>
    <row r="40" spans="1:8" s="6" customFormat="1" ht="24" customHeight="1">
      <c r="A40" s="53" t="s">
        <v>868</v>
      </c>
      <c r="B40" s="143"/>
      <c r="C40" s="336">
        <v>318</v>
      </c>
      <c r="D40" s="337">
        <f t="shared" si="0"/>
        <v>1.7954939200510598</v>
      </c>
      <c r="E40" s="45">
        <v>3</v>
      </c>
      <c r="F40" s="337">
        <f t="shared" si="1"/>
        <v>0.16372158816489382</v>
      </c>
      <c r="G40" s="47"/>
      <c r="H40" s="337">
        <f t="shared" si="2"/>
        <v>0</v>
      </c>
    </row>
    <row r="41" spans="1:8" s="6" customFormat="1" ht="24" customHeight="1">
      <c r="A41" s="53" t="s">
        <v>870</v>
      </c>
      <c r="B41" s="143"/>
      <c r="C41" s="336">
        <v>57</v>
      </c>
      <c r="D41" s="337">
        <f t="shared" si="0"/>
        <v>0.3218338158582088</v>
      </c>
      <c r="E41" s="45"/>
      <c r="F41" s="337">
        <f t="shared" si="1"/>
        <v>0</v>
      </c>
      <c r="G41" s="47"/>
      <c r="H41" s="337">
        <f t="shared" si="2"/>
        <v>0</v>
      </c>
    </row>
    <row r="42" spans="1:8" s="6" customFormat="1" ht="24" customHeight="1">
      <c r="A42" s="53" t="s">
        <v>1286</v>
      </c>
      <c r="B42" s="143"/>
      <c r="C42" s="336">
        <v>4</v>
      </c>
      <c r="D42" s="337">
        <f t="shared" si="0"/>
        <v>2.2584829183032198E-2</v>
      </c>
      <c r="E42" s="45">
        <v>1</v>
      </c>
      <c r="F42" s="337">
        <f t="shared" si="1"/>
        <v>5.4573862721631276E-2</v>
      </c>
      <c r="G42" s="47">
        <v>1</v>
      </c>
      <c r="H42" s="337">
        <f t="shared" si="2"/>
        <v>0.3650061321030193</v>
      </c>
    </row>
    <row r="43" spans="1:8" s="6" customFormat="1" ht="24" customHeight="1">
      <c r="A43" s="53" t="s">
        <v>279</v>
      </c>
      <c r="B43" s="143"/>
      <c r="C43" s="336"/>
      <c r="D43" s="337">
        <f t="shared" si="0"/>
        <v>0</v>
      </c>
      <c r="E43" s="45"/>
      <c r="F43" s="337">
        <f t="shared" si="1"/>
        <v>0</v>
      </c>
      <c r="G43" s="47"/>
      <c r="H43" s="337">
        <f t="shared" si="2"/>
        <v>0</v>
      </c>
    </row>
    <row r="44" spans="1:8" s="6" customFormat="1" ht="24" customHeight="1">
      <c r="A44" s="53" t="s">
        <v>867</v>
      </c>
      <c r="B44" s="143"/>
      <c r="C44" s="336">
        <v>6</v>
      </c>
      <c r="D44" s="337">
        <f t="shared" si="0"/>
        <v>3.3877243774548295E-2</v>
      </c>
      <c r="E44" s="45"/>
      <c r="F44" s="337">
        <f t="shared" si="1"/>
        <v>0</v>
      </c>
      <c r="G44" s="47"/>
      <c r="H44" s="337">
        <f t="shared" si="2"/>
        <v>0</v>
      </c>
    </row>
    <row r="45" spans="1:8" s="6" customFormat="1" ht="24" customHeight="1">
      <c r="A45" s="223" t="s">
        <v>280</v>
      </c>
      <c r="B45" s="319"/>
      <c r="C45" s="338">
        <v>49</v>
      </c>
      <c r="D45" s="339">
        <f t="shared" si="0"/>
        <v>0.27666415749214446</v>
      </c>
      <c r="E45" s="54">
        <v>3</v>
      </c>
      <c r="F45" s="339">
        <f>+E45/E$72*100000</f>
        <v>0.16372158816489382</v>
      </c>
      <c r="G45" s="74"/>
      <c r="H45" s="339">
        <f>+G45/G$72*100000</f>
        <v>0</v>
      </c>
    </row>
    <row r="47" spans="1:8">
      <c r="A47" t="s">
        <v>872</v>
      </c>
    </row>
    <row r="67" spans="3:7">
      <c r="D67" s="154"/>
      <c r="E67" s="340"/>
      <c r="F67" s="340"/>
    </row>
    <row r="72" spans="3:7">
      <c r="C72" s="119">
        <f>+'7'!$B$20</f>
        <v>17711004</v>
      </c>
      <c r="D72" s="119"/>
      <c r="E72" s="119">
        <f>+'7'!$C$20</f>
        <v>1832379</v>
      </c>
      <c r="F72" s="119"/>
      <c r="G72" s="119">
        <f>+'7'!$D$20</f>
        <v>273968</v>
      </c>
    </row>
  </sheetData>
  <phoneticPr fontId="19" type="noConversion"/>
  <printOptions horizontalCentered="1" gridLinesSet="0"/>
  <pageMargins left="1.1811023622047245" right="0.78740157480314965" top="0.70866141732283472" bottom="0.78740157480314965" header="0.51181102362204722" footer="0.51181102362204722"/>
  <pageSetup paperSize="5" scale="90" orientation="portrait" horizontalDpi="300" verticalDpi="300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8:G24"/>
  <sheetViews>
    <sheetView showGridLines="0" workbookViewId="0">
      <selection activeCell="A20" sqref="A20"/>
    </sheetView>
  </sheetViews>
  <sheetFormatPr baseColWidth="10" defaultRowHeight="12.75"/>
  <sheetData>
    <row r="8" spans="1:7" ht="23.25">
      <c r="A8" s="1212" t="s">
        <v>873</v>
      </c>
      <c r="B8" s="1212"/>
      <c r="C8" s="1212"/>
      <c r="D8" s="1212"/>
      <c r="E8" s="1212"/>
      <c r="F8" s="1212"/>
      <c r="G8" s="1212"/>
    </row>
    <row r="9" spans="1:7" ht="23.25">
      <c r="A9" s="341"/>
      <c r="B9" s="243"/>
      <c r="C9" s="243"/>
      <c r="D9" s="243"/>
      <c r="E9" s="243"/>
      <c r="F9" s="243"/>
      <c r="G9" s="243"/>
    </row>
    <row r="10" spans="1:7" ht="23.25">
      <c r="A10" s="341"/>
      <c r="B10" s="243"/>
      <c r="C10" s="243"/>
      <c r="D10" s="243"/>
      <c r="E10" s="243"/>
      <c r="F10" s="243"/>
      <c r="G10" s="243"/>
    </row>
    <row r="11" spans="1:7" ht="23.25">
      <c r="A11" s="341"/>
      <c r="B11" s="243"/>
      <c r="C11" s="243"/>
      <c r="D11" s="243"/>
      <c r="E11" s="243"/>
      <c r="F11" s="243"/>
      <c r="G11" s="243"/>
    </row>
    <row r="12" spans="1:7" ht="23.25">
      <c r="A12" s="1212" t="s">
        <v>874</v>
      </c>
      <c r="B12" s="1212"/>
      <c r="C12" s="1212"/>
      <c r="D12" s="1212"/>
      <c r="E12" s="1212"/>
      <c r="F12" s="1212"/>
      <c r="G12" s="1212"/>
    </row>
    <row r="13" spans="1:7" ht="23.25">
      <c r="A13" s="341"/>
      <c r="B13" s="243"/>
      <c r="C13" s="243"/>
      <c r="D13" s="243"/>
      <c r="E13" s="243"/>
      <c r="F13" s="243"/>
      <c r="G13" s="243"/>
    </row>
    <row r="14" spans="1:7" ht="23.25">
      <c r="A14" s="341"/>
      <c r="B14" s="243"/>
      <c r="C14" s="243"/>
      <c r="D14" s="243"/>
      <c r="E14" s="243"/>
      <c r="F14" s="243"/>
      <c r="G14" s="243"/>
    </row>
    <row r="15" spans="1:7" ht="23.25">
      <c r="A15" s="341"/>
      <c r="B15" s="243"/>
      <c r="C15" s="243"/>
      <c r="D15" s="243"/>
      <c r="E15" s="243"/>
      <c r="F15" s="243"/>
      <c r="G15" s="243"/>
    </row>
    <row r="16" spans="1:7" ht="23.25">
      <c r="A16" s="1212" t="s">
        <v>875</v>
      </c>
      <c r="B16" s="1212"/>
      <c r="C16" s="1212"/>
      <c r="D16" s="1212"/>
      <c r="E16" s="1212"/>
      <c r="F16" s="1212"/>
      <c r="G16" s="1212"/>
    </row>
    <row r="17" spans="1:7" ht="23.25">
      <c r="A17" s="342"/>
      <c r="B17" s="343"/>
      <c r="C17" s="343"/>
      <c r="D17" s="343"/>
      <c r="E17" s="343"/>
      <c r="F17" s="343"/>
      <c r="G17" s="343"/>
    </row>
    <row r="18" spans="1:7" ht="23.25">
      <c r="A18" s="342"/>
      <c r="B18" s="343"/>
      <c r="C18" s="343"/>
      <c r="D18" s="343"/>
      <c r="E18" s="343"/>
      <c r="F18" s="343"/>
      <c r="G18" s="343"/>
    </row>
    <row r="19" spans="1:7" ht="23.25">
      <c r="A19" s="342"/>
      <c r="B19" s="343"/>
      <c r="C19" s="343"/>
      <c r="D19" s="343"/>
      <c r="E19" s="343"/>
      <c r="F19" s="343"/>
      <c r="G19" s="343"/>
    </row>
    <row r="20" spans="1:7" ht="23.25">
      <c r="A20" s="342"/>
      <c r="B20" s="343"/>
      <c r="C20" s="343"/>
      <c r="D20" s="343"/>
      <c r="E20" s="343"/>
      <c r="F20" s="343"/>
      <c r="G20" s="343"/>
    </row>
    <row r="21" spans="1:7" ht="23.25">
      <c r="A21" s="1212" t="s">
        <v>876</v>
      </c>
      <c r="B21" s="1212"/>
      <c r="C21" s="1212"/>
      <c r="D21" s="1212"/>
      <c r="E21" s="1212"/>
      <c r="F21" s="1212"/>
      <c r="G21" s="1212"/>
    </row>
    <row r="22" spans="1:7" ht="23.25">
      <c r="A22" s="344"/>
      <c r="B22" s="344"/>
      <c r="C22" s="344"/>
      <c r="D22" s="344"/>
      <c r="E22" s="344"/>
      <c r="F22" s="344"/>
      <c r="G22" s="345"/>
    </row>
    <row r="23" spans="1:7">
      <c r="A23" s="172"/>
      <c r="B23" s="172"/>
      <c r="C23" s="172"/>
      <c r="D23" s="172"/>
      <c r="E23" s="172"/>
      <c r="F23" s="172"/>
    </row>
    <row r="24" spans="1:7">
      <c r="A24" s="172"/>
      <c r="B24" s="172"/>
      <c r="C24" s="172"/>
      <c r="D24" s="172"/>
      <c r="E24" s="172"/>
      <c r="F24" s="172"/>
    </row>
  </sheetData>
  <mergeCells count="4">
    <mergeCell ref="A8:G8"/>
    <mergeCell ref="A12:G12"/>
    <mergeCell ref="A16:G16"/>
    <mergeCell ref="A21:G21"/>
  </mergeCells>
  <phoneticPr fontId="19" type="noConversion"/>
  <printOptions gridLinesSet="0"/>
  <pageMargins left="1.1811023622047245" right="0.78740157480314965" top="2.3622047244094491" bottom="0.98425196850393704" header="0.51181102362204722" footer="0.51181102362204722"/>
  <pageSetup paperSize="304" orientation="portrait" horizontalDpi="300" verticalDpi="300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3"/>
  <sheetViews>
    <sheetView topLeftCell="A40" workbookViewId="0">
      <selection activeCell="J37" sqref="J37"/>
    </sheetView>
  </sheetViews>
  <sheetFormatPr baseColWidth="10" defaultRowHeight="12.75"/>
  <cols>
    <col min="1" max="1" width="12.140625" customWidth="1"/>
    <col min="2" max="2" width="18.7109375" customWidth="1"/>
    <col min="3" max="3" width="8.28515625" customWidth="1"/>
    <col min="4" max="9" width="7.42578125" customWidth="1"/>
  </cols>
  <sheetData>
    <row r="1" spans="1:9" ht="18" customHeight="1">
      <c r="A1" s="1211" t="s">
        <v>877</v>
      </c>
      <c r="B1" s="1211"/>
      <c r="C1" s="1211"/>
      <c r="D1" s="1211"/>
      <c r="E1" s="1211"/>
      <c r="F1" s="1211"/>
      <c r="G1" s="1211"/>
      <c r="H1" s="1211"/>
      <c r="I1" s="1211"/>
    </row>
    <row r="2" spans="1:9" ht="18" customHeight="1">
      <c r="A2" s="1211" t="s">
        <v>878</v>
      </c>
      <c r="B2" s="1211"/>
      <c r="C2" s="1211"/>
      <c r="D2" s="1211"/>
      <c r="E2" s="1211"/>
      <c r="F2" s="1211"/>
      <c r="G2" s="1211"/>
      <c r="H2" s="1211"/>
      <c r="I2" s="1211"/>
    </row>
    <row r="3" spans="1:9" ht="20.25" customHeight="1">
      <c r="A3" s="1215" t="s">
        <v>1438</v>
      </c>
      <c r="B3" s="1215"/>
      <c r="C3" s="1215"/>
      <c r="D3" s="1215"/>
      <c r="E3" s="1215"/>
      <c r="F3" s="1215"/>
      <c r="G3" s="1215"/>
      <c r="H3" s="1215"/>
      <c r="I3" s="1215"/>
    </row>
    <row r="4" spans="1:9">
      <c r="A4" s="314"/>
      <c r="B4" s="117"/>
      <c r="C4" s="117"/>
      <c r="D4" s="117"/>
      <c r="E4" s="117"/>
      <c r="F4" s="117"/>
      <c r="G4" s="117"/>
      <c r="H4" s="117"/>
      <c r="I4" s="117"/>
    </row>
    <row r="5" spans="1:9">
      <c r="B5" s="117"/>
      <c r="C5" s="117"/>
      <c r="D5" s="117"/>
      <c r="E5" s="117"/>
      <c r="F5" s="117"/>
      <c r="G5" s="117"/>
      <c r="H5" s="117"/>
      <c r="I5" s="117"/>
    </row>
    <row r="7" spans="1:9" ht="19.5" customHeight="1">
      <c r="A7" s="346"/>
      <c r="B7" s="346"/>
      <c r="C7" s="347" t="s">
        <v>879</v>
      </c>
      <c r="D7" s="86" t="s">
        <v>880</v>
      </c>
      <c r="E7" s="159"/>
      <c r="F7" s="159"/>
      <c r="G7" s="159"/>
      <c r="H7" s="159"/>
      <c r="I7" s="160"/>
    </row>
    <row r="8" spans="1:9" ht="18.75" customHeight="1">
      <c r="A8" s="95" t="s">
        <v>881</v>
      </c>
      <c r="B8" s="95" t="s">
        <v>882</v>
      </c>
      <c r="C8" s="348" t="s">
        <v>883</v>
      </c>
      <c r="D8" s="86" t="s">
        <v>884</v>
      </c>
      <c r="E8" s="160"/>
      <c r="F8" s="159" t="s">
        <v>885</v>
      </c>
      <c r="G8" s="159"/>
      <c r="H8" s="86" t="s">
        <v>886</v>
      </c>
      <c r="I8" s="160"/>
    </row>
    <row r="9" spans="1:9" ht="18" customHeight="1">
      <c r="A9" s="15"/>
      <c r="B9" s="15"/>
      <c r="C9" s="15"/>
      <c r="D9" s="349" t="s">
        <v>736</v>
      </c>
      <c r="E9" s="326" t="s">
        <v>565</v>
      </c>
      <c r="F9" s="308" t="s">
        <v>736</v>
      </c>
      <c r="G9" s="308" t="s">
        <v>565</v>
      </c>
      <c r="H9" s="349" t="s">
        <v>736</v>
      </c>
      <c r="I9" s="326" t="s">
        <v>565</v>
      </c>
    </row>
    <row r="10" spans="1:9" ht="18.75" customHeight="1">
      <c r="A10" s="303" t="s">
        <v>681</v>
      </c>
      <c r="B10" s="350" t="s">
        <v>887</v>
      </c>
      <c r="C10" s="351">
        <v>1744</v>
      </c>
      <c r="D10" s="351">
        <v>79</v>
      </c>
      <c r="E10" s="352">
        <f t="shared" ref="E10:E18" si="0">+D10/C10*100</f>
        <v>4.5298165137614674</v>
      </c>
      <c r="F10" s="351">
        <v>496</v>
      </c>
      <c r="G10" s="352">
        <f>+F10/C10*100</f>
        <v>28.440366972477065</v>
      </c>
      <c r="H10" s="351">
        <v>197</v>
      </c>
      <c r="I10" s="353">
        <f>+H10/C10*100</f>
        <v>11.295871559633028</v>
      </c>
    </row>
    <row r="11" spans="1:9" ht="15.75" customHeight="1">
      <c r="A11" s="303"/>
      <c r="B11" s="350" t="s">
        <v>888</v>
      </c>
      <c r="C11" s="351">
        <v>2011</v>
      </c>
      <c r="D11" s="351">
        <v>166</v>
      </c>
      <c r="E11" s="352">
        <f t="shared" si="0"/>
        <v>8.2545997016409736</v>
      </c>
      <c r="F11" s="351">
        <v>692</v>
      </c>
      <c r="G11" s="352">
        <f>+F11/C11*100</f>
        <v>34.410740924912979</v>
      </c>
      <c r="H11" s="351">
        <v>343</v>
      </c>
      <c r="I11" s="353">
        <f>+H11/C11*100</f>
        <v>17.05619094977623</v>
      </c>
    </row>
    <row r="12" spans="1:9" ht="15.75" customHeight="1">
      <c r="A12" s="303"/>
      <c r="B12" s="350" t="s">
        <v>889</v>
      </c>
      <c r="C12" s="351">
        <v>347</v>
      </c>
      <c r="D12" s="351">
        <v>21</v>
      </c>
      <c r="E12" s="352">
        <f t="shared" si="0"/>
        <v>6.0518731988472618</v>
      </c>
      <c r="F12" s="351">
        <v>110</v>
      </c>
      <c r="G12" s="352">
        <f>+F12/C12*100</f>
        <v>31.70028818443804</v>
      </c>
      <c r="H12" s="351">
        <v>46</v>
      </c>
      <c r="I12" s="353">
        <f>+H12/C12*100</f>
        <v>13.256484149855908</v>
      </c>
    </row>
    <row r="13" spans="1:9" ht="15.75" customHeight="1">
      <c r="A13" s="303"/>
      <c r="B13" s="303" t="s">
        <v>819</v>
      </c>
      <c r="C13" s="351">
        <f>SUM(C10:C12)</f>
        <v>4102</v>
      </c>
      <c r="D13" s="351">
        <f>SUM(D10:D12)</f>
        <v>266</v>
      </c>
      <c r="E13" s="352">
        <f t="shared" si="0"/>
        <v>6.4846416382252556</v>
      </c>
      <c r="F13" s="351">
        <f>SUM(F10:F12)</f>
        <v>1298</v>
      </c>
      <c r="G13" s="352">
        <f>+F13/C13*100</f>
        <v>31.643100926377375</v>
      </c>
      <c r="H13" s="351">
        <f>SUM(H10:H12)</f>
        <v>586</v>
      </c>
      <c r="I13" s="353">
        <f>+H13/C13*100</f>
        <v>14.285714285714285</v>
      </c>
    </row>
    <row r="14" spans="1:9" ht="16.5" customHeight="1">
      <c r="A14" s="303" t="s">
        <v>682</v>
      </c>
      <c r="B14" s="350" t="s">
        <v>890</v>
      </c>
      <c r="C14" s="351">
        <v>1525</v>
      </c>
      <c r="D14" s="351">
        <v>39</v>
      </c>
      <c r="E14" s="352">
        <f t="shared" si="0"/>
        <v>2.5573770491803276</v>
      </c>
      <c r="F14" s="351">
        <v>351</v>
      </c>
      <c r="G14" s="352">
        <f t="shared" ref="G14:G33" si="1">+F14/C14*100</f>
        <v>23.016393442622952</v>
      </c>
      <c r="H14" s="351">
        <v>158</v>
      </c>
      <c r="I14" s="353">
        <f t="shared" ref="I14:I33" si="2">+H14/C14*100</f>
        <v>10.360655737704919</v>
      </c>
    </row>
    <row r="15" spans="1:9" ht="16.5" customHeight="1">
      <c r="A15" s="303"/>
      <c r="B15" s="303" t="s">
        <v>1342</v>
      </c>
      <c r="C15" s="351">
        <v>243</v>
      </c>
      <c r="D15" s="351">
        <v>6</v>
      </c>
      <c r="E15" s="352">
        <f>+D15/C15*100</f>
        <v>2.4691358024691357</v>
      </c>
      <c r="F15" s="351">
        <v>69</v>
      </c>
      <c r="G15" s="352">
        <f>+F15/C15*100</f>
        <v>28.39506172839506</v>
      </c>
      <c r="H15" s="351">
        <v>35</v>
      </c>
      <c r="I15" s="353">
        <f>+H15/C15*100</f>
        <v>14.403292181069959</v>
      </c>
    </row>
    <row r="16" spans="1:9" ht="17.25" customHeight="1">
      <c r="A16" s="303" t="s">
        <v>891</v>
      </c>
      <c r="B16" s="350" t="s">
        <v>892</v>
      </c>
      <c r="C16" s="351">
        <v>1147</v>
      </c>
      <c r="D16" s="351">
        <v>63</v>
      </c>
      <c r="E16" s="352">
        <f t="shared" si="0"/>
        <v>5.4925893635571059</v>
      </c>
      <c r="F16" s="351">
        <v>286</v>
      </c>
      <c r="G16" s="352">
        <f t="shared" si="1"/>
        <v>24.934612031386223</v>
      </c>
      <c r="H16" s="351">
        <v>156</v>
      </c>
      <c r="I16" s="353">
        <f t="shared" si="2"/>
        <v>13.600697471665214</v>
      </c>
    </row>
    <row r="17" spans="1:9" ht="15.75" customHeight="1">
      <c r="A17" s="303" t="s">
        <v>683</v>
      </c>
      <c r="B17" s="350" t="s">
        <v>893</v>
      </c>
      <c r="C17" s="351">
        <v>845</v>
      </c>
      <c r="D17" s="351">
        <v>41</v>
      </c>
      <c r="E17" s="352">
        <f t="shared" si="0"/>
        <v>4.8520710059171597</v>
      </c>
      <c r="F17" s="351">
        <v>238</v>
      </c>
      <c r="G17" s="352">
        <f t="shared" si="1"/>
        <v>28.165680473372777</v>
      </c>
      <c r="H17" s="351">
        <v>65</v>
      </c>
      <c r="I17" s="353">
        <f t="shared" si="2"/>
        <v>7.6923076923076925</v>
      </c>
    </row>
    <row r="18" spans="1:9" ht="18" customHeight="1">
      <c r="A18" s="303" t="s">
        <v>894</v>
      </c>
      <c r="B18" s="303" t="s">
        <v>894</v>
      </c>
      <c r="C18" s="351">
        <f>SUM(C13:C17)</f>
        <v>7862</v>
      </c>
      <c r="D18" s="351">
        <f>SUM(D13:D17)</f>
        <v>415</v>
      </c>
      <c r="E18" s="352">
        <f t="shared" si="0"/>
        <v>5.278555075044518</v>
      </c>
      <c r="F18" s="351">
        <f>SUM(F13:F17)</f>
        <v>2242</v>
      </c>
      <c r="G18" s="352">
        <f t="shared" si="1"/>
        <v>28.51691681505978</v>
      </c>
      <c r="H18" s="351">
        <f>SUM(H13:H17)</f>
        <v>1000</v>
      </c>
      <c r="I18" s="353">
        <f t="shared" si="2"/>
        <v>12.719409819384381</v>
      </c>
    </row>
    <row r="19" spans="1:9">
      <c r="A19" s="303"/>
      <c r="B19" s="303"/>
      <c r="C19" s="351"/>
      <c r="D19" s="351"/>
      <c r="E19" s="352"/>
      <c r="F19" s="351"/>
      <c r="G19" s="352"/>
      <c r="H19" s="351"/>
      <c r="I19" s="353"/>
    </row>
    <row r="20" spans="1:9" ht="18" customHeight="1">
      <c r="A20" s="303" t="s">
        <v>684</v>
      </c>
      <c r="B20" s="350" t="s">
        <v>895</v>
      </c>
      <c r="C20" s="351">
        <v>2007</v>
      </c>
      <c r="D20" s="351">
        <v>97</v>
      </c>
      <c r="E20" s="352">
        <f>+D20/C20*100</f>
        <v>4.8330842052815148</v>
      </c>
      <c r="F20" s="351">
        <v>671</v>
      </c>
      <c r="G20" s="352">
        <f t="shared" si="1"/>
        <v>33.432984554060788</v>
      </c>
      <c r="H20" s="351">
        <v>331</v>
      </c>
      <c r="I20" s="353">
        <f t="shared" si="2"/>
        <v>16.492277030393623</v>
      </c>
    </row>
    <row r="21" spans="1:9" ht="18" customHeight="1">
      <c r="A21" s="303"/>
      <c r="B21" s="350" t="s">
        <v>896</v>
      </c>
      <c r="C21" s="351">
        <v>2901</v>
      </c>
      <c r="D21" s="351">
        <v>197</v>
      </c>
      <c r="E21" s="352">
        <f>+D21/C21*100</f>
        <v>6.7907618062736983</v>
      </c>
      <c r="F21" s="351">
        <v>897</v>
      </c>
      <c r="G21" s="352">
        <f t="shared" si="1"/>
        <v>30.920372285418825</v>
      </c>
      <c r="H21" s="351">
        <v>496</v>
      </c>
      <c r="I21" s="353">
        <f t="shared" si="2"/>
        <v>17.097552568079973</v>
      </c>
    </row>
    <row r="22" spans="1:9" ht="18" customHeight="1">
      <c r="A22" s="303"/>
      <c r="B22" s="350" t="s">
        <v>992</v>
      </c>
      <c r="C22" s="351">
        <v>272</v>
      </c>
      <c r="D22" s="351">
        <v>24</v>
      </c>
      <c r="E22" s="352">
        <f>+D22/C22*100</f>
        <v>8.8235294117647065</v>
      </c>
      <c r="F22" s="351">
        <v>82</v>
      </c>
      <c r="G22" s="352">
        <f t="shared" si="1"/>
        <v>30.147058823529409</v>
      </c>
      <c r="H22" s="351">
        <v>9</v>
      </c>
      <c r="I22" s="353">
        <f t="shared" si="2"/>
        <v>3.3088235294117649</v>
      </c>
    </row>
    <row r="23" spans="1:9" ht="18" customHeight="1">
      <c r="A23" s="303"/>
      <c r="B23" s="350" t="s">
        <v>897</v>
      </c>
      <c r="C23" s="351">
        <v>475</v>
      </c>
      <c r="D23" s="351">
        <v>8</v>
      </c>
      <c r="E23" s="352">
        <f t="shared" ref="E23:E33" si="3">+D23/C23*100</f>
        <v>1.6842105263157894</v>
      </c>
      <c r="F23" s="351">
        <v>113</v>
      </c>
      <c r="G23" s="352">
        <f t="shared" si="1"/>
        <v>23.789473684210527</v>
      </c>
      <c r="H23" s="351">
        <v>16</v>
      </c>
      <c r="I23" s="353">
        <f t="shared" si="2"/>
        <v>3.3684210526315788</v>
      </c>
    </row>
    <row r="24" spans="1:9" ht="18" customHeight="1">
      <c r="A24" s="303"/>
      <c r="B24" s="303" t="s">
        <v>819</v>
      </c>
      <c r="C24" s="351">
        <f>SUM(C20:C23)</f>
        <v>5655</v>
      </c>
      <c r="D24" s="351">
        <f>SUM(D20:D23)</f>
        <v>326</v>
      </c>
      <c r="E24" s="352">
        <f t="shared" si="3"/>
        <v>5.7648099027409376</v>
      </c>
      <c r="F24" s="351">
        <f>SUM(F20:F23)</f>
        <v>1763</v>
      </c>
      <c r="G24" s="352">
        <f t="shared" si="1"/>
        <v>31.175950486295314</v>
      </c>
      <c r="H24" s="351">
        <f>SUM(H20:H23)</f>
        <v>852</v>
      </c>
      <c r="I24" s="353">
        <f t="shared" si="2"/>
        <v>15.066312997347481</v>
      </c>
    </row>
    <row r="25" spans="1:9" ht="17.25" customHeight="1">
      <c r="A25" s="303" t="s">
        <v>685</v>
      </c>
      <c r="B25" s="350" t="s">
        <v>898</v>
      </c>
      <c r="C25" s="351">
        <v>1206</v>
      </c>
      <c r="D25" s="351">
        <v>87</v>
      </c>
      <c r="E25" s="352">
        <f t="shared" si="3"/>
        <v>7.2139303482587067</v>
      </c>
      <c r="F25" s="351">
        <v>368</v>
      </c>
      <c r="G25" s="352">
        <f t="shared" si="1"/>
        <v>30.514096185737976</v>
      </c>
      <c r="H25" s="351">
        <v>186</v>
      </c>
      <c r="I25" s="353">
        <f t="shared" si="2"/>
        <v>15.422885572139302</v>
      </c>
    </row>
    <row r="26" spans="1:9" ht="17.25" customHeight="1">
      <c r="A26" s="303" t="s">
        <v>686</v>
      </c>
      <c r="B26" s="350" t="s">
        <v>899</v>
      </c>
      <c r="C26" s="351">
        <v>967</v>
      </c>
      <c r="D26" s="351">
        <v>75</v>
      </c>
      <c r="E26" s="352">
        <f t="shared" si="3"/>
        <v>7.7559462254395042</v>
      </c>
      <c r="F26" s="351">
        <v>336</v>
      </c>
      <c r="G26" s="352">
        <f t="shared" si="1"/>
        <v>34.74663908996898</v>
      </c>
      <c r="H26" s="351">
        <v>123</v>
      </c>
      <c r="I26" s="353">
        <f t="shared" si="2"/>
        <v>12.719751809720787</v>
      </c>
    </row>
    <row r="27" spans="1:9" ht="17.25" customHeight="1">
      <c r="A27" s="303"/>
      <c r="B27" s="350" t="s">
        <v>900</v>
      </c>
      <c r="C27" s="351">
        <v>138</v>
      </c>
      <c r="D27" s="351">
        <v>10</v>
      </c>
      <c r="E27" s="352">
        <f>+D27/C27*100</f>
        <v>7.2463768115942031</v>
      </c>
      <c r="F27" s="351">
        <v>46</v>
      </c>
      <c r="G27" s="352">
        <f>+F27/C27*100</f>
        <v>33.333333333333329</v>
      </c>
      <c r="H27" s="351">
        <v>24</v>
      </c>
      <c r="I27" s="353">
        <f>+H27/C27*100</f>
        <v>17.391304347826086</v>
      </c>
    </row>
    <row r="28" spans="1:9" ht="17.25" customHeight="1">
      <c r="A28" s="303" t="s">
        <v>687</v>
      </c>
      <c r="B28" s="350" t="s">
        <v>901</v>
      </c>
      <c r="C28" s="351">
        <v>499</v>
      </c>
      <c r="D28" s="351">
        <v>33</v>
      </c>
      <c r="E28" s="352">
        <f t="shared" si="3"/>
        <v>6.6132264529058116</v>
      </c>
      <c r="F28" s="351">
        <v>137</v>
      </c>
      <c r="G28" s="352">
        <f t="shared" si="1"/>
        <v>27.45490981963928</v>
      </c>
      <c r="H28" s="351">
        <v>63</v>
      </c>
      <c r="I28" s="353">
        <f t="shared" si="2"/>
        <v>12.625250501002002</v>
      </c>
    </row>
    <row r="29" spans="1:9" ht="18" customHeight="1">
      <c r="A29" s="303" t="s">
        <v>688</v>
      </c>
      <c r="B29" s="350" t="s">
        <v>902</v>
      </c>
      <c r="C29" s="351">
        <v>2240</v>
      </c>
      <c r="D29" s="351">
        <v>150</v>
      </c>
      <c r="E29" s="352">
        <f>+D29/C29*100</f>
        <v>6.6964285714285712</v>
      </c>
      <c r="F29" s="351">
        <v>885</v>
      </c>
      <c r="G29" s="352">
        <f t="shared" si="1"/>
        <v>39.508928571428569</v>
      </c>
      <c r="H29" s="351">
        <v>368</v>
      </c>
      <c r="I29" s="353">
        <f t="shared" si="2"/>
        <v>16.428571428571427</v>
      </c>
    </row>
    <row r="30" spans="1:9" ht="18" customHeight="1">
      <c r="A30" s="303" t="s">
        <v>689</v>
      </c>
      <c r="B30" s="350" t="s">
        <v>903</v>
      </c>
      <c r="C30" s="351">
        <v>935</v>
      </c>
      <c r="D30" s="351">
        <v>62</v>
      </c>
      <c r="E30" s="352">
        <f t="shared" si="3"/>
        <v>6.6310160427807494</v>
      </c>
      <c r="F30" s="351">
        <v>367</v>
      </c>
      <c r="G30" s="352">
        <f t="shared" si="1"/>
        <v>39.251336898395721</v>
      </c>
      <c r="H30" s="351">
        <v>158</v>
      </c>
      <c r="I30" s="353">
        <f t="shared" si="2"/>
        <v>16.898395721925134</v>
      </c>
    </row>
    <row r="31" spans="1:9" ht="18" customHeight="1">
      <c r="A31" s="303"/>
      <c r="B31" s="303" t="s">
        <v>1343</v>
      </c>
      <c r="C31" s="351">
        <v>133</v>
      </c>
      <c r="D31" s="351">
        <v>5</v>
      </c>
      <c r="E31" s="352">
        <f>+D31/C31*100</f>
        <v>3.7593984962406015</v>
      </c>
      <c r="F31" s="351">
        <v>49</v>
      </c>
      <c r="G31" s="352">
        <f>+F31/C31*100</f>
        <v>36.84210526315789</v>
      </c>
      <c r="H31" s="351">
        <v>12</v>
      </c>
      <c r="I31" s="353">
        <f>+H31/C31*100</f>
        <v>9.0225563909774422</v>
      </c>
    </row>
    <row r="32" spans="1:9" ht="17.25" customHeight="1">
      <c r="A32" s="303" t="s">
        <v>894</v>
      </c>
      <c r="B32" s="303" t="s">
        <v>894</v>
      </c>
      <c r="C32" s="351">
        <f>SUM(C24:C31)</f>
        <v>11773</v>
      </c>
      <c r="D32" s="351">
        <f>SUM(D24:D31)</f>
        <v>748</v>
      </c>
      <c r="E32" s="352">
        <f>+D32/C32*100</f>
        <v>6.3535207678586598</v>
      </c>
      <c r="F32" s="351">
        <f>SUM(F24:F31)</f>
        <v>3951</v>
      </c>
      <c r="G32" s="352">
        <f>+F32/C32*100</f>
        <v>33.559840312579631</v>
      </c>
      <c r="H32" s="351">
        <f>SUM(H24:H31)</f>
        <v>1786</v>
      </c>
      <c r="I32" s="353">
        <f t="shared" si="2"/>
        <v>15.170304935020809</v>
      </c>
    </row>
    <row r="33" spans="1:9" ht="17.25" customHeight="1">
      <c r="A33" s="306" t="s">
        <v>690</v>
      </c>
      <c r="B33" s="306"/>
      <c r="C33" s="354">
        <f>+C18+C32</f>
        <v>19635</v>
      </c>
      <c r="D33" s="354">
        <f>+D18+D32</f>
        <v>1163</v>
      </c>
      <c r="E33" s="355">
        <f t="shared" si="3"/>
        <v>5.9230965113318055</v>
      </c>
      <c r="F33" s="354">
        <f>+F18+F32</f>
        <v>6193</v>
      </c>
      <c r="G33" s="355">
        <f t="shared" si="1"/>
        <v>31.540616246498598</v>
      </c>
      <c r="H33" s="354">
        <f>+H18+H32</f>
        <v>2786</v>
      </c>
      <c r="I33" s="356">
        <f t="shared" si="2"/>
        <v>14.188948306595364</v>
      </c>
    </row>
    <row r="34" spans="1:9">
      <c r="A34" s="221"/>
      <c r="B34" s="221"/>
      <c r="C34" s="168"/>
      <c r="D34" s="168"/>
      <c r="E34" s="168"/>
      <c r="F34" s="168"/>
      <c r="G34" s="168"/>
      <c r="H34" s="168"/>
      <c r="I34" s="168"/>
    </row>
    <row r="35" spans="1:9">
      <c r="A35" s="221"/>
      <c r="B35" s="221"/>
      <c r="C35" s="168"/>
      <c r="D35" s="168"/>
      <c r="E35" s="168"/>
      <c r="F35" s="168"/>
      <c r="G35" s="168"/>
      <c r="H35" s="168"/>
      <c r="I35" s="168"/>
    </row>
    <row r="36" spans="1:9">
      <c r="A36" s="357" t="s">
        <v>709</v>
      </c>
      <c r="B36" s="1213">
        <v>2011</v>
      </c>
      <c r="C36" s="1214"/>
      <c r="D36" s="1213">
        <v>2012</v>
      </c>
      <c r="E36" s="1214"/>
      <c r="F36" s="1213">
        <v>2013</v>
      </c>
      <c r="G36" s="1214"/>
      <c r="H36" s="1213">
        <v>2014</v>
      </c>
      <c r="I36" s="1214"/>
    </row>
    <row r="37" spans="1:9" s="6" customFormat="1" ht="16.5" customHeight="1">
      <c r="A37" s="358" t="s">
        <v>904</v>
      </c>
      <c r="B37" s="359">
        <v>1202</v>
      </c>
      <c r="C37" s="360">
        <v>6.2978099130252545</v>
      </c>
      <c r="D37" s="359">
        <v>1186</v>
      </c>
      <c r="E37" s="360">
        <v>6.2807816554572886</v>
      </c>
      <c r="F37" s="359">
        <v>1194</v>
      </c>
      <c r="G37" s="360">
        <v>6.2807816554572886</v>
      </c>
      <c r="H37" s="359">
        <f>+D33</f>
        <v>1163</v>
      </c>
      <c r="I37" s="360">
        <f>+E33</f>
        <v>5.9230965113318055</v>
      </c>
    </row>
    <row r="38" spans="1:9" s="6" customFormat="1" ht="16.5" customHeight="1">
      <c r="A38" s="358" t="s">
        <v>905</v>
      </c>
      <c r="B38" s="359">
        <v>5996</v>
      </c>
      <c r="C38" s="360">
        <v>31.415697369799854</v>
      </c>
      <c r="D38" s="359">
        <v>6291</v>
      </c>
      <c r="E38" s="360">
        <v>33.315680771063924</v>
      </c>
      <c r="F38" s="359">
        <v>6238</v>
      </c>
      <c r="G38" s="360">
        <v>32.9</v>
      </c>
      <c r="H38" s="359">
        <f>+F33</f>
        <v>6193</v>
      </c>
      <c r="I38" s="360">
        <f>+G33</f>
        <v>31.540616246498598</v>
      </c>
    </row>
    <row r="39" spans="1:9" s="6" customFormat="1" ht="16.5" customHeight="1">
      <c r="A39" s="358" t="s">
        <v>906</v>
      </c>
      <c r="B39" s="359">
        <v>2867</v>
      </c>
      <c r="C39" s="360">
        <v>15.021481714345594</v>
      </c>
      <c r="D39" s="359">
        <v>2788</v>
      </c>
      <c r="E39" s="360">
        <v>14.764603082137373</v>
      </c>
      <c r="F39" s="359">
        <v>2826</v>
      </c>
      <c r="G39" s="360">
        <v>14.9</v>
      </c>
      <c r="H39" s="359">
        <f>+H33</f>
        <v>2786</v>
      </c>
      <c r="I39" s="360">
        <f>+I33</f>
        <v>14.188948306595364</v>
      </c>
    </row>
    <row r="40" spans="1:9">
      <c r="C40" s="361"/>
      <c r="D40" s="361"/>
      <c r="E40" s="361"/>
      <c r="F40" s="361"/>
      <c r="G40" s="361"/>
      <c r="H40" s="361"/>
      <c r="I40" s="361"/>
    </row>
    <row r="41" spans="1:9">
      <c r="C41" s="361"/>
      <c r="D41" s="361"/>
      <c r="E41" s="361"/>
      <c r="F41" s="361"/>
      <c r="G41" s="361"/>
      <c r="H41" s="361"/>
      <c r="I41" s="361"/>
    </row>
    <row r="42" spans="1:9">
      <c r="C42" s="361"/>
      <c r="D42" s="361"/>
      <c r="E42" s="361"/>
      <c r="F42" s="361"/>
      <c r="G42" s="361"/>
      <c r="H42" s="361"/>
      <c r="I42" s="361"/>
    </row>
    <row r="43" spans="1:9">
      <c r="C43" s="361"/>
      <c r="D43" s="361"/>
      <c r="E43" s="361"/>
      <c r="F43" s="361"/>
      <c r="G43" s="361"/>
      <c r="H43" s="361"/>
      <c r="I43" s="361"/>
    </row>
  </sheetData>
  <mergeCells count="7">
    <mergeCell ref="F36:G36"/>
    <mergeCell ref="H36:I36"/>
    <mergeCell ref="A1:I1"/>
    <mergeCell ref="A2:I2"/>
    <mergeCell ref="A3:I3"/>
    <mergeCell ref="D36:E36"/>
    <mergeCell ref="B36:C36"/>
  </mergeCells>
  <phoneticPr fontId="19" type="noConversion"/>
  <pageMargins left="0.78740157480314965" right="0.78740157480314965" top="0.78740157480314965" bottom="0.59055118110236227" header="0.51181102362204722" footer="0.51181102362204722"/>
  <pageSetup paperSize="5" orientation="portrait" horizontalDpi="300" verticalDpi="300" r:id="rId1"/>
  <headerFooter alignWithMargins="0">
    <oddHeader xml:space="preserve">&amp;R
</oddHead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39"/>
  <sheetViews>
    <sheetView topLeftCell="A16" workbookViewId="0">
      <selection activeCell="B27" sqref="B27"/>
    </sheetView>
  </sheetViews>
  <sheetFormatPr baseColWidth="10" defaultRowHeight="12.75"/>
  <cols>
    <col min="1" max="1" width="14.85546875" customWidth="1"/>
    <col min="2" max="2" width="3.85546875" customWidth="1"/>
    <col min="3" max="3" width="5.140625" customWidth="1"/>
    <col min="4" max="4" width="13" customWidth="1"/>
    <col min="5" max="5" width="8.7109375" customWidth="1"/>
    <col min="6" max="6" width="14" customWidth="1"/>
    <col min="7" max="7" width="5.42578125" customWidth="1"/>
    <col min="8" max="8" width="2.42578125" customWidth="1"/>
    <col min="9" max="9" width="7.5703125" customWidth="1"/>
    <col min="10" max="10" width="14.28515625" customWidth="1"/>
    <col min="11" max="11" width="6.140625" customWidth="1"/>
    <col min="12" max="12" width="2.7109375" customWidth="1"/>
    <col min="13" max="13" width="10.7109375" customWidth="1"/>
    <col min="14" max="14" width="3.42578125" customWidth="1"/>
    <col min="15" max="15" width="2.7109375" customWidth="1"/>
    <col min="16" max="16" width="6.85546875" customWidth="1"/>
    <col min="17" max="17" width="10.85546875" customWidth="1"/>
    <col min="18" max="18" width="3.5703125" customWidth="1"/>
    <col min="19" max="19" width="3.28515625" customWidth="1"/>
    <col min="20" max="20" width="3.7109375" customWidth="1"/>
    <col min="21" max="21" width="3.140625" customWidth="1"/>
    <col min="22" max="22" width="17.28515625" customWidth="1"/>
  </cols>
  <sheetData>
    <row r="1" spans="1:22" ht="18" customHeight="1">
      <c r="A1" s="18" t="s">
        <v>452</v>
      </c>
      <c r="B1" s="18"/>
      <c r="C1" s="18"/>
      <c r="D1" s="18"/>
      <c r="E1" s="18"/>
      <c r="F1" s="18"/>
      <c r="G1" s="18"/>
      <c r="H1" s="18"/>
      <c r="I1" s="18"/>
      <c r="J1" s="18"/>
      <c r="K1" s="18"/>
      <c r="L1" s="18"/>
      <c r="M1" s="18"/>
      <c r="N1" s="9"/>
      <c r="O1" s="9"/>
      <c r="P1" s="9"/>
      <c r="Q1" s="9"/>
      <c r="R1" s="5"/>
      <c r="S1" s="5"/>
      <c r="T1" s="5"/>
      <c r="U1" s="5"/>
      <c r="V1" s="5"/>
    </row>
    <row r="2" spans="1:22" ht="19.5" customHeight="1">
      <c r="A2" s="18" t="s">
        <v>453</v>
      </c>
      <c r="B2" s="18"/>
      <c r="C2" s="18"/>
      <c r="D2" s="18"/>
      <c r="E2" s="18"/>
      <c r="F2" s="18"/>
      <c r="G2" s="18"/>
      <c r="H2" s="18"/>
      <c r="I2" s="18"/>
      <c r="J2" s="18"/>
      <c r="K2" s="18"/>
      <c r="L2" s="18"/>
      <c r="M2" s="18"/>
      <c r="N2" s="9"/>
      <c r="O2" s="9"/>
      <c r="P2" s="9"/>
      <c r="Q2" s="9"/>
      <c r="R2" s="5"/>
      <c r="S2" s="5"/>
      <c r="T2" s="5"/>
      <c r="U2" s="5"/>
      <c r="V2" s="5"/>
    </row>
    <row r="3" spans="1:22">
      <c r="A3" s="6"/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</row>
    <row r="4" spans="1:22">
      <c r="A4" s="6"/>
      <c r="B4" s="6"/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</row>
    <row r="5" spans="1:22">
      <c r="A5" s="6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</row>
    <row r="6" spans="1:22">
      <c r="A6" s="6"/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</row>
    <row r="7" spans="1:22">
      <c r="A7" s="19" t="s">
        <v>454</v>
      </c>
      <c r="B7" s="20"/>
      <c r="C7" s="20"/>
      <c r="D7" s="19" t="s">
        <v>729</v>
      </c>
      <c r="E7" s="20"/>
      <c r="F7" s="19" t="s">
        <v>186</v>
      </c>
      <c r="G7" s="20"/>
      <c r="H7" s="20"/>
      <c r="I7" s="20"/>
      <c r="J7" s="19" t="s">
        <v>187</v>
      </c>
      <c r="K7" s="20"/>
      <c r="L7" s="20"/>
      <c r="M7" s="19" t="s">
        <v>455</v>
      </c>
      <c r="N7" s="20"/>
      <c r="O7" s="20"/>
      <c r="P7" s="20"/>
      <c r="Q7" s="19" t="s">
        <v>456</v>
      </c>
      <c r="R7" s="20"/>
      <c r="S7" s="20"/>
      <c r="T7" s="20"/>
      <c r="U7" s="20"/>
      <c r="V7" s="19" t="s">
        <v>457</v>
      </c>
    </row>
    <row r="8" spans="1:22">
      <c r="A8" s="6"/>
      <c r="B8" s="6"/>
      <c r="C8" s="6"/>
      <c r="D8" s="6"/>
      <c r="E8" s="6"/>
      <c r="F8" s="8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</row>
    <row r="9" spans="1:22">
      <c r="A9" s="22" t="s">
        <v>458</v>
      </c>
      <c r="B9" s="1187">
        <v>10</v>
      </c>
      <c r="C9" s="6"/>
      <c r="D9" s="32"/>
      <c r="E9" s="5"/>
      <c r="F9" s="22"/>
      <c r="G9" s="6"/>
      <c r="H9" s="11"/>
      <c r="I9" s="6"/>
      <c r="J9" s="22"/>
      <c r="K9" s="6"/>
      <c r="L9" s="6"/>
      <c r="M9" s="16"/>
      <c r="N9" s="6"/>
      <c r="O9" s="6"/>
      <c r="P9" s="6"/>
      <c r="Q9" s="16"/>
      <c r="R9" s="6"/>
      <c r="S9" s="6"/>
      <c r="T9" s="6"/>
      <c r="U9" s="6"/>
      <c r="V9" s="6"/>
    </row>
    <row r="10" spans="1:22">
      <c r="A10" s="22" t="s">
        <v>459</v>
      </c>
      <c r="B10" s="1187">
        <v>8</v>
      </c>
      <c r="C10" s="6"/>
      <c r="D10" s="27"/>
      <c r="E10" s="6"/>
      <c r="F10" s="22" t="s">
        <v>445</v>
      </c>
      <c r="G10" s="10"/>
      <c r="H10" s="27">
        <v>0</v>
      </c>
      <c r="I10" s="6"/>
      <c r="J10" s="22"/>
      <c r="K10" s="6"/>
      <c r="L10" s="6"/>
      <c r="M10" s="23" t="s">
        <v>445</v>
      </c>
      <c r="N10" s="10"/>
      <c r="O10" s="27">
        <v>15</v>
      </c>
      <c r="P10" s="6"/>
      <c r="Q10" s="16"/>
      <c r="R10" s="6"/>
      <c r="S10" s="6"/>
      <c r="T10" s="6"/>
      <c r="U10" s="6"/>
      <c r="V10" s="6"/>
    </row>
    <row r="11" spans="1:22">
      <c r="A11" s="22" t="s">
        <v>460</v>
      </c>
      <c r="B11" s="1187">
        <v>10</v>
      </c>
      <c r="C11" s="6"/>
      <c r="D11" s="32"/>
      <c r="E11" s="5"/>
      <c r="F11" s="22"/>
      <c r="G11" s="6"/>
      <c r="H11" s="30"/>
      <c r="I11" s="6"/>
      <c r="J11" s="22"/>
      <c r="K11" s="6"/>
      <c r="L11" s="6"/>
      <c r="M11" s="16"/>
      <c r="N11" s="6"/>
      <c r="O11" s="28"/>
      <c r="P11" s="6"/>
      <c r="Q11" s="16"/>
      <c r="R11" s="6"/>
      <c r="S11" s="6"/>
      <c r="T11" s="6"/>
      <c r="U11" s="6"/>
      <c r="V11" s="6"/>
    </row>
    <row r="12" spans="1:22">
      <c r="A12" s="22" t="s">
        <v>461</v>
      </c>
      <c r="B12" s="1187">
        <v>12</v>
      </c>
      <c r="C12" s="6"/>
      <c r="D12" s="32"/>
      <c r="E12" s="5"/>
      <c r="F12" s="22"/>
      <c r="G12" s="6"/>
      <c r="H12" s="30"/>
      <c r="I12" s="6"/>
      <c r="J12" s="22"/>
      <c r="K12" s="6"/>
      <c r="L12" s="6"/>
      <c r="M12" s="16"/>
      <c r="N12" s="6"/>
      <c r="O12" s="28"/>
      <c r="P12" s="6"/>
      <c r="Q12" s="24" t="s">
        <v>446</v>
      </c>
      <c r="R12" s="6"/>
      <c r="S12" s="27">
        <v>143</v>
      </c>
      <c r="T12" s="6"/>
      <c r="U12" s="6"/>
      <c r="V12" s="6"/>
    </row>
    <row r="13" spans="1:22">
      <c r="A13" s="22"/>
      <c r="B13" s="30"/>
      <c r="C13" s="6"/>
      <c r="D13" s="30"/>
      <c r="E13" s="6"/>
      <c r="F13" s="22"/>
      <c r="G13" s="6"/>
      <c r="H13" s="30"/>
      <c r="I13" s="6"/>
      <c r="J13" s="22"/>
      <c r="K13" s="6"/>
      <c r="L13" s="6"/>
      <c r="M13" s="16"/>
      <c r="N13" s="6"/>
      <c r="O13" s="28"/>
      <c r="P13" s="6"/>
      <c r="Q13" s="16"/>
      <c r="R13" s="6"/>
      <c r="S13" s="28"/>
      <c r="T13" s="6"/>
      <c r="U13" s="6"/>
      <c r="V13" s="6"/>
    </row>
    <row r="14" spans="1:22">
      <c r="A14" s="22"/>
      <c r="B14" s="30"/>
      <c r="C14" s="6"/>
      <c r="D14" s="30"/>
      <c r="E14" s="6"/>
      <c r="F14" s="22"/>
      <c r="G14" s="6"/>
      <c r="H14" s="30"/>
      <c r="I14" s="6"/>
      <c r="J14" s="22"/>
      <c r="K14" s="6"/>
      <c r="L14" s="6"/>
      <c r="M14" s="16"/>
      <c r="N14" s="6"/>
      <c r="O14" s="28"/>
      <c r="P14" s="6"/>
      <c r="Q14" s="16"/>
      <c r="R14" s="6"/>
      <c r="S14" s="28"/>
      <c r="T14" s="6"/>
      <c r="U14" s="6"/>
      <c r="V14" s="6"/>
    </row>
    <row r="15" spans="1:22">
      <c r="A15" s="22" t="s">
        <v>462</v>
      </c>
      <c r="B15" s="1187">
        <v>10</v>
      </c>
      <c r="C15" s="10"/>
      <c r="D15" s="32"/>
      <c r="E15" s="6"/>
      <c r="F15" s="22" t="s">
        <v>463</v>
      </c>
      <c r="G15" s="10"/>
      <c r="H15" s="27">
        <v>8</v>
      </c>
      <c r="I15" s="6"/>
      <c r="J15" s="22"/>
      <c r="K15" s="6"/>
      <c r="L15" s="6"/>
      <c r="M15" s="16"/>
      <c r="N15" s="6"/>
      <c r="O15" s="28"/>
      <c r="P15" s="6"/>
      <c r="Q15" s="25">
        <v>16</v>
      </c>
      <c r="R15" s="6"/>
      <c r="S15" s="28"/>
      <c r="T15" s="6"/>
      <c r="U15" s="6"/>
      <c r="V15" s="6"/>
    </row>
    <row r="16" spans="1:22">
      <c r="A16" s="22"/>
      <c r="B16" s="32"/>
      <c r="C16" s="10"/>
      <c r="D16" s="22" t="s">
        <v>464</v>
      </c>
      <c r="E16" s="32">
        <v>12</v>
      </c>
      <c r="F16" s="22"/>
      <c r="G16" s="10"/>
      <c r="H16" s="27"/>
      <c r="I16" s="6"/>
      <c r="J16" s="22"/>
      <c r="K16" s="6"/>
      <c r="L16" s="6"/>
      <c r="M16" s="16"/>
      <c r="N16" s="6"/>
      <c r="O16" s="28"/>
      <c r="P16" s="6"/>
      <c r="Q16" s="26"/>
      <c r="R16" s="6"/>
      <c r="S16" s="28"/>
      <c r="T16" s="6"/>
      <c r="U16" s="6"/>
      <c r="V16" s="6"/>
    </row>
    <row r="17" spans="1:22">
      <c r="A17" s="22"/>
      <c r="B17" s="30"/>
      <c r="C17" s="6"/>
      <c r="D17" s="30"/>
      <c r="E17" s="6"/>
      <c r="F17" s="22" t="s">
        <v>465</v>
      </c>
      <c r="G17" s="10"/>
      <c r="H17" s="27">
        <v>6</v>
      </c>
      <c r="I17" s="6"/>
      <c r="J17" s="22"/>
      <c r="K17" s="6"/>
      <c r="L17" s="6"/>
      <c r="M17" s="16"/>
      <c r="N17" s="6"/>
      <c r="O17" s="28"/>
      <c r="P17" s="6"/>
      <c r="Q17" s="16"/>
      <c r="R17" s="6"/>
      <c r="S17" s="28"/>
      <c r="T17" s="6"/>
      <c r="U17" s="6"/>
      <c r="V17" s="6"/>
    </row>
    <row r="18" spans="1:22">
      <c r="A18" s="22"/>
      <c r="B18" s="30"/>
      <c r="C18" s="6"/>
      <c r="D18" s="30"/>
      <c r="E18" s="6"/>
      <c r="F18" s="17"/>
      <c r="H18" s="31"/>
      <c r="I18" s="6"/>
      <c r="J18" s="22" t="s">
        <v>466</v>
      </c>
      <c r="K18" s="7"/>
      <c r="L18" s="27">
        <v>1</v>
      </c>
      <c r="M18" s="16"/>
      <c r="N18" s="6"/>
      <c r="O18" s="28"/>
      <c r="P18" s="6"/>
      <c r="Q18" s="22" t="s">
        <v>466</v>
      </c>
      <c r="R18" s="6"/>
      <c r="S18" s="27">
        <v>127</v>
      </c>
      <c r="T18" s="6"/>
      <c r="U18" s="6"/>
      <c r="V18" s="21" t="s">
        <v>467</v>
      </c>
    </row>
    <row r="19" spans="1:22">
      <c r="A19" s="22"/>
      <c r="B19" s="30"/>
      <c r="C19" s="6"/>
      <c r="D19" s="24" t="s">
        <v>461</v>
      </c>
      <c r="E19" s="32">
        <v>10</v>
      </c>
      <c r="F19" s="236" t="s">
        <v>728</v>
      </c>
      <c r="H19" s="31">
        <v>2</v>
      </c>
      <c r="I19" s="6"/>
      <c r="J19" s="22"/>
      <c r="K19" s="7"/>
      <c r="L19" s="27"/>
      <c r="M19" s="16"/>
      <c r="N19" s="6"/>
      <c r="O19" s="28"/>
      <c r="P19" s="6"/>
      <c r="Q19" s="22"/>
      <c r="R19" s="6"/>
      <c r="S19" s="27"/>
      <c r="T19" s="6"/>
      <c r="U19" s="6"/>
      <c r="V19" s="21"/>
    </row>
    <row r="20" spans="1:22">
      <c r="A20" s="22"/>
      <c r="B20" s="30"/>
      <c r="C20" s="6"/>
      <c r="D20" s="30"/>
      <c r="E20" s="6"/>
      <c r="F20" s="22"/>
      <c r="G20" s="6"/>
      <c r="H20" s="30"/>
      <c r="I20" s="6"/>
      <c r="J20" s="22"/>
      <c r="K20" s="6"/>
      <c r="L20" s="29"/>
      <c r="M20" s="16"/>
      <c r="N20" s="6"/>
      <c r="O20" s="28"/>
      <c r="P20" s="6"/>
      <c r="Q20" s="16"/>
      <c r="R20" s="6"/>
      <c r="S20" s="30"/>
      <c r="T20" s="6"/>
      <c r="U20" s="6"/>
      <c r="V20" s="6"/>
    </row>
    <row r="21" spans="1:22">
      <c r="A21" s="22"/>
      <c r="B21" s="30"/>
      <c r="C21" s="6"/>
      <c r="D21" s="30"/>
      <c r="E21" s="6"/>
      <c r="F21" s="22" t="s">
        <v>468</v>
      </c>
      <c r="G21" s="10"/>
      <c r="H21" s="32">
        <v>12</v>
      </c>
      <c r="I21" s="6"/>
      <c r="J21" s="22"/>
      <c r="K21" s="6"/>
      <c r="L21" s="29"/>
      <c r="M21" s="16"/>
      <c r="N21" s="6"/>
      <c r="O21" s="28"/>
      <c r="P21" s="6"/>
      <c r="Q21" s="16"/>
      <c r="R21" s="6"/>
      <c r="S21" s="30"/>
      <c r="T21" s="6"/>
      <c r="U21" s="6"/>
      <c r="V21" s="6"/>
    </row>
    <row r="22" spans="1:22">
      <c r="A22" s="22"/>
      <c r="B22" s="30"/>
      <c r="C22" s="6"/>
      <c r="D22" s="30"/>
      <c r="E22" s="6"/>
      <c r="F22" s="22"/>
      <c r="G22" s="6"/>
      <c r="H22" s="29"/>
      <c r="I22" s="6"/>
      <c r="J22" s="22"/>
      <c r="K22" s="6"/>
      <c r="L22" s="29"/>
      <c r="M22" s="16"/>
      <c r="N22" s="6"/>
      <c r="O22" s="28"/>
      <c r="P22" s="6"/>
      <c r="Q22" s="16"/>
      <c r="R22" s="6"/>
      <c r="S22" s="30"/>
      <c r="T22" s="6"/>
      <c r="U22" s="6"/>
      <c r="V22" s="6"/>
    </row>
    <row r="23" spans="1:22">
      <c r="A23" s="22"/>
      <c r="B23" s="30"/>
      <c r="C23" s="6"/>
      <c r="D23" s="30"/>
      <c r="E23" s="6"/>
      <c r="F23" s="22"/>
      <c r="G23" s="6"/>
      <c r="H23" s="30"/>
      <c r="I23" s="6"/>
      <c r="J23" s="22"/>
      <c r="K23" s="6"/>
      <c r="L23" s="29"/>
      <c r="M23" s="16"/>
      <c r="N23" s="6"/>
      <c r="O23" s="28"/>
      <c r="P23" s="6"/>
      <c r="Q23" s="16"/>
      <c r="R23" s="6"/>
      <c r="S23" s="30"/>
      <c r="T23" s="6"/>
      <c r="U23" s="6"/>
      <c r="V23" s="6"/>
    </row>
    <row r="24" spans="1:22">
      <c r="A24" s="22"/>
      <c r="B24" s="32"/>
      <c r="C24" s="6"/>
      <c r="D24" s="22" t="s">
        <v>469</v>
      </c>
      <c r="E24" s="32">
        <v>13</v>
      </c>
      <c r="F24" s="22" t="s">
        <v>470</v>
      </c>
      <c r="G24" s="10"/>
      <c r="H24" s="27">
        <v>8</v>
      </c>
      <c r="I24" s="10"/>
      <c r="J24" s="22" t="s">
        <v>471</v>
      </c>
      <c r="K24" s="10"/>
      <c r="L24" s="27">
        <v>0</v>
      </c>
      <c r="M24" s="22" t="s">
        <v>471</v>
      </c>
      <c r="N24" s="10"/>
      <c r="O24" s="27">
        <v>30</v>
      </c>
      <c r="P24" s="6"/>
      <c r="Q24" s="16"/>
      <c r="R24" s="6"/>
      <c r="S24" s="27">
        <v>100</v>
      </c>
      <c r="T24" s="6"/>
      <c r="U24" s="6"/>
      <c r="V24" s="6"/>
    </row>
    <row r="25" spans="1:22">
      <c r="A25" s="22"/>
      <c r="B25" s="30"/>
      <c r="C25" s="6"/>
      <c r="D25" s="30"/>
      <c r="E25" s="6"/>
      <c r="F25" s="22"/>
      <c r="G25" s="6"/>
      <c r="H25" s="30"/>
      <c r="I25" s="6"/>
      <c r="J25" s="22"/>
      <c r="K25" s="6"/>
      <c r="L25" s="30"/>
      <c r="M25" s="6"/>
      <c r="N25" s="6"/>
      <c r="O25" s="6"/>
      <c r="P25" s="6"/>
      <c r="Q25" s="16"/>
      <c r="R25" s="6"/>
      <c r="S25" s="11"/>
      <c r="T25" s="6"/>
      <c r="U25" s="6"/>
      <c r="V25" s="6"/>
    </row>
    <row r="26" spans="1:22">
      <c r="A26" s="22"/>
      <c r="B26" s="30"/>
      <c r="C26" s="6"/>
      <c r="D26" s="30"/>
      <c r="E26" s="6"/>
      <c r="F26" s="22"/>
      <c r="G26" s="6"/>
      <c r="H26" s="30"/>
      <c r="I26" s="6"/>
      <c r="J26" s="22"/>
      <c r="K26" s="6"/>
      <c r="L26" s="30"/>
      <c r="M26" s="6"/>
      <c r="N26" s="6"/>
      <c r="O26" s="6"/>
      <c r="P26" s="6"/>
      <c r="Q26" s="16"/>
      <c r="R26" s="6"/>
      <c r="S26" s="6"/>
      <c r="T26" s="6"/>
      <c r="U26" s="6"/>
      <c r="V26" s="6"/>
    </row>
    <row r="27" spans="1:22">
      <c r="A27" s="22" t="s">
        <v>472</v>
      </c>
      <c r="B27" s="1187">
        <v>30</v>
      </c>
      <c r="C27" s="6"/>
      <c r="D27" s="32"/>
      <c r="E27" s="6"/>
      <c r="F27" s="22"/>
      <c r="G27" s="6"/>
      <c r="H27" s="30"/>
      <c r="I27" s="6"/>
      <c r="J27" s="22" t="s">
        <v>473</v>
      </c>
      <c r="K27" s="7"/>
      <c r="L27" s="27">
        <v>1</v>
      </c>
      <c r="M27" s="6"/>
      <c r="N27" s="6"/>
      <c r="O27" s="6"/>
      <c r="P27" s="6"/>
      <c r="Q27" s="16"/>
      <c r="R27" s="6"/>
      <c r="S27" s="6"/>
      <c r="T27" s="6"/>
      <c r="U27" s="6"/>
      <c r="V27" s="6"/>
    </row>
    <row r="28" spans="1:22">
      <c r="A28" s="22"/>
      <c r="B28" s="30"/>
      <c r="C28" s="6"/>
      <c r="D28" s="22" t="s">
        <v>478</v>
      </c>
      <c r="E28" s="27">
        <v>1</v>
      </c>
      <c r="F28" s="16"/>
      <c r="G28" s="6"/>
      <c r="H28" s="30"/>
      <c r="I28" s="6"/>
      <c r="J28" s="22"/>
      <c r="K28" s="6"/>
      <c r="L28" s="30"/>
      <c r="M28" s="6"/>
      <c r="N28" s="6"/>
      <c r="O28" s="6"/>
      <c r="P28" s="6"/>
      <c r="Q28" s="16"/>
      <c r="R28" s="6"/>
      <c r="S28" s="6"/>
      <c r="T28" s="6"/>
      <c r="U28" s="6"/>
      <c r="V28" s="6"/>
    </row>
    <row r="29" spans="1:22">
      <c r="A29" s="22"/>
      <c r="B29" s="30"/>
      <c r="C29" s="6"/>
      <c r="D29" s="30"/>
      <c r="E29" s="6"/>
      <c r="F29" s="16"/>
      <c r="G29" s="6"/>
      <c r="H29" s="30"/>
      <c r="I29" s="6"/>
      <c r="J29" s="22"/>
      <c r="K29" s="6"/>
      <c r="L29" s="30"/>
      <c r="M29" s="6"/>
      <c r="N29" s="6"/>
      <c r="O29" s="6"/>
      <c r="P29" s="6"/>
      <c r="Q29" s="16"/>
      <c r="R29" s="6"/>
      <c r="S29" s="6"/>
      <c r="T29" s="6"/>
      <c r="U29" s="6"/>
      <c r="V29" s="6"/>
    </row>
    <row r="30" spans="1:22">
      <c r="A30" s="22"/>
      <c r="B30" s="30"/>
      <c r="C30" s="6"/>
      <c r="D30" s="30"/>
      <c r="E30" s="6"/>
      <c r="F30" s="16"/>
      <c r="G30" s="6"/>
      <c r="H30" s="30"/>
      <c r="I30" s="6"/>
      <c r="J30" s="22" t="s">
        <v>477</v>
      </c>
      <c r="K30" s="7"/>
      <c r="L30" s="27">
        <v>0</v>
      </c>
      <c r="M30" s="6"/>
      <c r="N30" s="6"/>
      <c r="O30" s="6"/>
      <c r="P30" s="6"/>
      <c r="Q30" s="16"/>
      <c r="R30" s="6"/>
      <c r="S30" s="6"/>
      <c r="T30" s="6"/>
      <c r="U30" s="6"/>
      <c r="V30" s="6"/>
    </row>
    <row r="31" spans="1:22">
      <c r="A31" s="22"/>
      <c r="B31" s="30"/>
      <c r="C31" s="6"/>
      <c r="D31" s="30"/>
      <c r="E31" s="6"/>
      <c r="F31" s="16"/>
      <c r="G31" s="6"/>
      <c r="H31" s="30"/>
      <c r="I31" s="6"/>
      <c r="K31" s="6"/>
      <c r="L31" s="30"/>
      <c r="M31" s="6"/>
      <c r="N31" s="6"/>
      <c r="O31" s="6"/>
      <c r="P31" s="6"/>
      <c r="Q31" s="16"/>
      <c r="R31" s="6"/>
      <c r="S31" s="6"/>
      <c r="T31" s="6"/>
      <c r="U31" s="6"/>
      <c r="V31" s="6"/>
    </row>
    <row r="32" spans="1:22">
      <c r="A32" s="22" t="s">
        <v>474</v>
      </c>
      <c r="B32" s="27">
        <v>3</v>
      </c>
      <c r="C32" s="6"/>
      <c r="D32" s="27"/>
      <c r="E32" s="6"/>
      <c r="F32" s="22" t="s">
        <v>475</v>
      </c>
      <c r="G32" s="10"/>
      <c r="H32" s="27">
        <v>4</v>
      </c>
      <c r="I32" s="8"/>
      <c r="K32" s="6"/>
      <c r="L32" s="30"/>
      <c r="M32" s="6"/>
      <c r="N32" s="6"/>
      <c r="O32" s="6"/>
      <c r="Q32" s="17"/>
      <c r="U32" s="6"/>
      <c r="V32" s="6"/>
    </row>
    <row r="33" spans="1:22">
      <c r="A33" s="16"/>
      <c r="B33" s="30"/>
      <c r="C33" s="6"/>
      <c r="D33" s="30"/>
      <c r="E33" s="6"/>
      <c r="F33" s="16"/>
      <c r="G33" s="6"/>
      <c r="H33" s="30"/>
      <c r="I33" s="6"/>
      <c r="K33" s="6"/>
      <c r="L33" s="30"/>
      <c r="M33" s="6"/>
      <c r="N33" s="6"/>
      <c r="O33" s="6"/>
      <c r="P33" s="6"/>
      <c r="Q33" s="16"/>
      <c r="R33" s="6"/>
      <c r="S33" s="6"/>
      <c r="T33" s="6"/>
      <c r="U33" s="6"/>
      <c r="V33" s="6"/>
    </row>
    <row r="34" spans="1:22">
      <c r="A34" s="16"/>
      <c r="B34" s="30"/>
      <c r="C34" s="6"/>
      <c r="D34" s="30"/>
      <c r="E34" s="6"/>
      <c r="F34" s="16"/>
      <c r="G34" s="6"/>
      <c r="H34" s="30"/>
      <c r="I34" s="6"/>
      <c r="K34" s="6"/>
      <c r="L34" s="30"/>
      <c r="M34" s="6"/>
      <c r="N34" s="6"/>
      <c r="O34" s="6"/>
      <c r="P34" s="6"/>
      <c r="Q34" s="16"/>
      <c r="R34" s="6"/>
      <c r="S34" s="6"/>
      <c r="T34" s="6"/>
      <c r="U34" s="6"/>
      <c r="V34" s="6"/>
    </row>
    <row r="35" spans="1:22">
      <c r="A35" s="22"/>
      <c r="C35" s="6"/>
      <c r="D35" s="22" t="s">
        <v>476</v>
      </c>
      <c r="E35" s="27">
        <v>8</v>
      </c>
      <c r="F35" s="22"/>
      <c r="G35" s="8"/>
      <c r="H35" s="30"/>
      <c r="I35" s="6"/>
      <c r="P35" s="6"/>
      <c r="Q35" s="22" t="s">
        <v>478</v>
      </c>
      <c r="R35" s="6"/>
      <c r="S35" s="27">
        <v>145</v>
      </c>
      <c r="T35" s="6"/>
      <c r="U35" s="6"/>
      <c r="V35" s="6"/>
    </row>
    <row r="36" spans="1:22">
      <c r="A36" s="22" t="s">
        <v>479</v>
      </c>
      <c r="B36" s="27">
        <v>4</v>
      </c>
      <c r="C36" s="6"/>
      <c r="D36" s="27"/>
      <c r="E36" s="8"/>
      <c r="F36" s="22" t="s">
        <v>480</v>
      </c>
      <c r="G36" s="10"/>
      <c r="H36" s="27">
        <v>5</v>
      </c>
      <c r="I36" s="6"/>
      <c r="K36" s="6"/>
      <c r="M36" s="6"/>
      <c r="N36" s="6"/>
      <c r="O36" s="6"/>
      <c r="P36" s="6"/>
      <c r="Q36" s="6"/>
      <c r="R36" s="6"/>
      <c r="S36" s="6"/>
      <c r="T36" s="6"/>
      <c r="U36" s="6"/>
      <c r="V36" s="6"/>
    </row>
    <row r="37" spans="1:22">
      <c r="A37" s="22" t="s">
        <v>481</v>
      </c>
      <c r="B37" s="27">
        <v>15</v>
      </c>
      <c r="C37" s="6"/>
      <c r="D37" s="27"/>
      <c r="E37" s="8"/>
      <c r="F37" s="22"/>
      <c r="G37" s="8"/>
      <c r="H37" s="30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</row>
    <row r="38" spans="1:22">
      <c r="A38" s="22" t="s">
        <v>482</v>
      </c>
      <c r="B38" s="27">
        <v>29</v>
      </c>
      <c r="C38" s="6"/>
      <c r="D38" s="27"/>
      <c r="E38" s="8"/>
      <c r="F38" s="22"/>
      <c r="G38" s="8"/>
      <c r="H38" s="30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</row>
    <row r="39" spans="1:22">
      <c r="A39" s="8"/>
      <c r="B39" s="8"/>
      <c r="C39" s="8"/>
      <c r="D39" s="8"/>
      <c r="E39" s="8"/>
      <c r="F39" s="22" t="s">
        <v>483</v>
      </c>
      <c r="G39" s="10"/>
      <c r="H39" s="27">
        <v>9</v>
      </c>
      <c r="I39" s="8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</row>
  </sheetData>
  <phoneticPr fontId="0" type="noConversion"/>
  <pageMargins left="1.1811023622047245" right="0.78740157480314965" top="0.78740157480314965" bottom="0.98425196850393704" header="0.51181102362204722" footer="0.51181102362204722"/>
  <pageSetup paperSize="5" scale="90" fitToHeight="29" orientation="landscape" horizontalDpi="300" verticalDpi="300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36"/>
  <sheetViews>
    <sheetView topLeftCell="G28" workbookViewId="0">
      <selection activeCell="R34" sqref="R34"/>
    </sheetView>
  </sheetViews>
  <sheetFormatPr baseColWidth="10" defaultRowHeight="12.75"/>
  <cols>
    <col min="1" max="1" width="13.85546875" customWidth="1"/>
    <col min="2" max="2" width="17.85546875" customWidth="1"/>
    <col min="3" max="23" width="7" customWidth="1"/>
    <col min="24" max="29" width="8.140625" customWidth="1"/>
  </cols>
  <sheetData>
    <row r="1" spans="1:23">
      <c r="A1" s="1211" t="s">
        <v>907</v>
      </c>
      <c r="B1" s="1211"/>
      <c r="C1" s="1211"/>
      <c r="D1" s="1211"/>
      <c r="E1" s="1211"/>
      <c r="F1" s="1211"/>
      <c r="G1" s="1211"/>
      <c r="H1" s="1211"/>
      <c r="I1" s="1211"/>
      <c r="J1" s="1211"/>
      <c r="K1" s="1211"/>
      <c r="L1" s="1211"/>
      <c r="M1" s="1211"/>
      <c r="N1" s="1211"/>
      <c r="O1" s="1211"/>
      <c r="P1" s="1211"/>
      <c r="Q1" s="1211"/>
      <c r="R1" s="1211"/>
      <c r="S1" s="1211"/>
      <c r="T1" s="1211"/>
      <c r="U1" s="1211"/>
      <c r="V1" s="1211"/>
      <c r="W1" s="1211"/>
    </row>
    <row r="2" spans="1:23">
      <c r="A2" s="1211" t="s">
        <v>908</v>
      </c>
      <c r="B2" s="1211"/>
      <c r="C2" s="1211"/>
      <c r="D2" s="1211"/>
      <c r="E2" s="1211"/>
      <c r="F2" s="1211"/>
      <c r="G2" s="1211"/>
      <c r="H2" s="1211"/>
      <c r="I2" s="1211"/>
      <c r="J2" s="1211"/>
      <c r="K2" s="1211"/>
      <c r="L2" s="1211"/>
      <c r="M2" s="1211"/>
      <c r="N2" s="1211"/>
      <c r="O2" s="1211"/>
      <c r="P2" s="1211"/>
      <c r="Q2" s="1211"/>
      <c r="R2" s="1211"/>
      <c r="S2" s="1211"/>
      <c r="T2" s="1211"/>
      <c r="U2" s="1211"/>
      <c r="V2" s="1211"/>
      <c r="W2" s="1211"/>
    </row>
    <row r="3" spans="1:23">
      <c r="A3" s="1211" t="s">
        <v>1439</v>
      </c>
      <c r="B3" s="1211"/>
      <c r="C3" s="1211"/>
      <c r="D3" s="1211"/>
      <c r="E3" s="1211"/>
      <c r="F3" s="1211"/>
      <c r="G3" s="1211"/>
      <c r="H3" s="1211"/>
      <c r="I3" s="1211"/>
      <c r="J3" s="1211"/>
      <c r="K3" s="1211"/>
      <c r="L3" s="1211"/>
      <c r="M3" s="1211"/>
      <c r="N3" s="1211"/>
      <c r="O3" s="1211"/>
      <c r="P3" s="1211"/>
      <c r="Q3" s="1211"/>
      <c r="R3" s="1211"/>
      <c r="S3" s="1211"/>
      <c r="T3" s="1211"/>
      <c r="U3" s="1211"/>
      <c r="V3" s="1211"/>
      <c r="W3" s="1211"/>
    </row>
    <row r="8" spans="1:23" ht="25.5" customHeight="1">
      <c r="A8" s="362"/>
      <c r="B8" s="363"/>
      <c r="C8" s="1216" t="s">
        <v>909</v>
      </c>
      <c r="D8" s="1217"/>
      <c r="E8" s="1218"/>
      <c r="F8" s="1217" t="s">
        <v>910</v>
      </c>
      <c r="G8" s="1217"/>
      <c r="H8" s="1217"/>
      <c r="I8" s="1216" t="s">
        <v>911</v>
      </c>
      <c r="J8" s="1217"/>
      <c r="K8" s="1218"/>
      <c r="L8" s="1217" t="s">
        <v>912</v>
      </c>
      <c r="M8" s="1217"/>
      <c r="N8" s="1217"/>
      <c r="O8" s="1216" t="s">
        <v>913</v>
      </c>
      <c r="P8" s="1217"/>
      <c r="Q8" s="1218"/>
      <c r="R8" s="1219" t="s">
        <v>914</v>
      </c>
      <c r="S8" s="1217"/>
      <c r="T8" s="1217"/>
      <c r="U8" s="1216" t="s">
        <v>706</v>
      </c>
      <c r="V8" s="1217"/>
      <c r="W8" s="1218"/>
    </row>
    <row r="9" spans="1:23" ht="9.75" customHeight="1">
      <c r="A9" s="365" t="s">
        <v>881</v>
      </c>
      <c r="B9" s="366" t="s">
        <v>915</v>
      </c>
      <c r="C9" s="367"/>
      <c r="D9" s="368"/>
      <c r="E9" s="369"/>
      <c r="F9" s="368"/>
      <c r="G9" s="368"/>
      <c r="H9" s="368"/>
      <c r="I9" s="367"/>
      <c r="J9" s="368"/>
      <c r="K9" s="369"/>
      <c r="L9" s="368"/>
      <c r="M9" s="368"/>
      <c r="N9" s="368"/>
      <c r="O9" s="367"/>
      <c r="P9" s="368"/>
      <c r="Q9" s="369"/>
      <c r="R9" s="368"/>
      <c r="S9" s="368"/>
      <c r="T9" s="368"/>
      <c r="U9" s="367"/>
      <c r="V9" s="368"/>
      <c r="W9" s="369"/>
    </row>
    <row r="10" spans="1:23" ht="17.25" customHeight="1">
      <c r="A10" s="370"/>
      <c r="B10" s="371"/>
      <c r="C10" s="372">
        <v>2013</v>
      </c>
      <c r="D10" s="373">
        <v>2014</v>
      </c>
      <c r="E10" s="374" t="s">
        <v>565</v>
      </c>
      <c r="F10" s="373">
        <f>+C10</f>
        <v>2013</v>
      </c>
      <c r="G10" s="373">
        <f>+D10</f>
        <v>2014</v>
      </c>
      <c r="H10" s="373" t="s">
        <v>565</v>
      </c>
      <c r="I10" s="372">
        <f>+F10</f>
        <v>2013</v>
      </c>
      <c r="J10" s="373">
        <f>+G10</f>
        <v>2014</v>
      </c>
      <c r="K10" s="374" t="s">
        <v>565</v>
      </c>
      <c r="L10" s="373">
        <f>+I10</f>
        <v>2013</v>
      </c>
      <c r="M10" s="373">
        <f>+G10</f>
        <v>2014</v>
      </c>
      <c r="N10" s="373" t="s">
        <v>565</v>
      </c>
      <c r="O10" s="372">
        <f>+L10</f>
        <v>2013</v>
      </c>
      <c r="P10" s="373">
        <f>+M10</f>
        <v>2014</v>
      </c>
      <c r="Q10" s="374" t="s">
        <v>565</v>
      </c>
      <c r="R10" s="373">
        <f>+O10</f>
        <v>2013</v>
      </c>
      <c r="S10" s="373">
        <f>+P10</f>
        <v>2014</v>
      </c>
      <c r="T10" s="373" t="s">
        <v>565</v>
      </c>
      <c r="U10" s="372">
        <f>+R10</f>
        <v>2013</v>
      </c>
      <c r="V10" s="373">
        <f>+S10</f>
        <v>2014</v>
      </c>
      <c r="W10" s="374" t="s">
        <v>565</v>
      </c>
    </row>
    <row r="11" spans="1:23">
      <c r="A11" s="365"/>
      <c r="B11" s="366"/>
      <c r="C11" s="367"/>
      <c r="D11" s="368"/>
      <c r="E11" s="369"/>
      <c r="F11" s="368"/>
      <c r="G11" s="368"/>
      <c r="H11" s="368"/>
      <c r="I11" s="367"/>
      <c r="J11" s="368"/>
      <c r="K11" s="369"/>
      <c r="L11" s="368"/>
      <c r="M11" s="368"/>
      <c r="N11" s="368"/>
      <c r="O11" s="367"/>
      <c r="P11" s="368"/>
      <c r="Q11" s="369"/>
      <c r="R11" s="368"/>
      <c r="S11" s="368"/>
      <c r="T11" s="368"/>
      <c r="U11" s="367"/>
      <c r="V11" s="368"/>
      <c r="W11" s="369"/>
    </row>
    <row r="12" spans="1:23" ht="15.75" customHeight="1">
      <c r="A12" s="365" t="s">
        <v>681</v>
      </c>
      <c r="B12" s="350" t="s">
        <v>887</v>
      </c>
      <c r="C12" s="367">
        <v>33</v>
      </c>
      <c r="D12" s="368">
        <v>56</v>
      </c>
      <c r="E12" s="375">
        <f>(+D12-C12)/C12*100</f>
        <v>69.696969696969703</v>
      </c>
      <c r="F12" s="368">
        <v>15</v>
      </c>
      <c r="G12" s="368">
        <v>3</v>
      </c>
      <c r="H12" s="376">
        <f>(+G12-F12)/F12*100</f>
        <v>-80</v>
      </c>
      <c r="I12" s="377">
        <v>369</v>
      </c>
      <c r="J12" s="378">
        <v>361</v>
      </c>
      <c r="K12" s="375">
        <f>(+J12-I12)/I12*100</f>
        <v>-2.168021680216802</v>
      </c>
      <c r="L12" s="368">
        <v>124</v>
      </c>
      <c r="M12" s="368">
        <v>150</v>
      </c>
      <c r="N12" s="376">
        <f>(+M12-L12)/L12*100</f>
        <v>20.967741935483872</v>
      </c>
      <c r="O12" s="377">
        <v>1171</v>
      </c>
      <c r="P12" s="378">
        <v>1158</v>
      </c>
      <c r="Q12" s="375">
        <f>(+P12-O12)/O12*100</f>
        <v>-1.1101622544833476</v>
      </c>
      <c r="R12" s="368">
        <v>0</v>
      </c>
      <c r="S12" s="368">
        <v>0</v>
      </c>
      <c r="T12" s="376"/>
      <c r="U12" s="377">
        <f t="shared" ref="U12:V14" si="0">+R12+O12+L12+I12+F12+C12</f>
        <v>1712</v>
      </c>
      <c r="V12" s="378">
        <f t="shared" si="0"/>
        <v>1728</v>
      </c>
      <c r="W12" s="375">
        <f>(+V12-U12)/U12*100</f>
        <v>0.93457943925233633</v>
      </c>
    </row>
    <row r="13" spans="1:23" ht="15.75" customHeight="1">
      <c r="A13" s="365"/>
      <c r="B13" s="350" t="s">
        <v>888</v>
      </c>
      <c r="C13" s="367">
        <v>67</v>
      </c>
      <c r="D13" s="368">
        <v>58</v>
      </c>
      <c r="E13" s="375">
        <f t="shared" ref="E13:E34" si="1">(+D13-C13)/C13*100</f>
        <v>-13.432835820895523</v>
      </c>
      <c r="F13" s="368">
        <v>13</v>
      </c>
      <c r="G13" s="368">
        <v>8</v>
      </c>
      <c r="H13" s="376">
        <f t="shared" ref="H13:H34" si="2">(+G13-F13)/F13*100</f>
        <v>-38.461538461538467</v>
      </c>
      <c r="I13" s="377">
        <v>406</v>
      </c>
      <c r="J13" s="378">
        <v>442</v>
      </c>
      <c r="K13" s="375">
        <f t="shared" ref="K13:K34" si="3">(+J13-I13)/I13*100</f>
        <v>8.8669950738916263</v>
      </c>
      <c r="L13" s="368">
        <v>188</v>
      </c>
      <c r="M13" s="368">
        <v>169</v>
      </c>
      <c r="N13" s="376">
        <f t="shared" ref="N13:N34" si="4">(+M13-L13)/L13*100</f>
        <v>-10.106382978723403</v>
      </c>
      <c r="O13" s="377">
        <v>1293</v>
      </c>
      <c r="P13" s="378">
        <v>1313</v>
      </c>
      <c r="Q13" s="375">
        <f t="shared" ref="Q13:Q34" si="5">(+P13-O13)/O13*100</f>
        <v>1.5467904098994587</v>
      </c>
      <c r="R13" s="368"/>
      <c r="S13" s="368">
        <v>1</v>
      </c>
      <c r="T13" s="368"/>
      <c r="U13" s="377">
        <f t="shared" si="0"/>
        <v>1967</v>
      </c>
      <c r="V13" s="378">
        <f t="shared" si="0"/>
        <v>1991</v>
      </c>
      <c r="W13" s="375">
        <f>(+V13-U13)/U13*100</f>
        <v>1.2201321809862735</v>
      </c>
    </row>
    <row r="14" spans="1:23" ht="15.75" customHeight="1">
      <c r="A14" s="365"/>
      <c r="B14" s="350" t="s">
        <v>889</v>
      </c>
      <c r="C14" s="367">
        <v>8</v>
      </c>
      <c r="D14" s="368">
        <v>15</v>
      </c>
      <c r="E14" s="375">
        <f t="shared" si="1"/>
        <v>87.5</v>
      </c>
      <c r="F14" s="368"/>
      <c r="G14" s="368"/>
      <c r="H14" s="376"/>
      <c r="I14" s="377">
        <v>96</v>
      </c>
      <c r="J14" s="378">
        <v>92</v>
      </c>
      <c r="K14" s="375">
        <f t="shared" si="3"/>
        <v>-4.1666666666666661</v>
      </c>
      <c r="L14" s="368">
        <v>20</v>
      </c>
      <c r="M14" s="368">
        <v>26</v>
      </c>
      <c r="N14" s="376">
        <f t="shared" si="4"/>
        <v>30</v>
      </c>
      <c r="O14" s="377">
        <v>205</v>
      </c>
      <c r="P14" s="378">
        <v>209</v>
      </c>
      <c r="Q14" s="375">
        <f t="shared" si="5"/>
        <v>1.9512195121951219</v>
      </c>
      <c r="R14" s="368"/>
      <c r="S14" s="368"/>
      <c r="T14" s="368"/>
      <c r="U14" s="377">
        <f t="shared" si="0"/>
        <v>329</v>
      </c>
      <c r="V14" s="378">
        <f t="shared" si="0"/>
        <v>342</v>
      </c>
      <c r="W14" s="375">
        <f t="shared" ref="W14:W34" si="6">(+V14-U14)/U14*100</f>
        <v>3.9513677811550152</v>
      </c>
    </row>
    <row r="15" spans="1:23" ht="15.75" customHeight="1">
      <c r="A15" s="365"/>
      <c r="B15" s="366" t="s">
        <v>819</v>
      </c>
      <c r="C15" s="367">
        <v>108</v>
      </c>
      <c r="D15" s="368">
        <f>SUM(D12:D14)</f>
        <v>129</v>
      </c>
      <c r="E15" s="375">
        <f t="shared" si="1"/>
        <v>19.444444444444446</v>
      </c>
      <c r="F15" s="368">
        <v>28</v>
      </c>
      <c r="G15" s="368">
        <f>SUM(G12:G14)</f>
        <v>11</v>
      </c>
      <c r="H15" s="376">
        <f t="shared" si="2"/>
        <v>-60.714285714285708</v>
      </c>
      <c r="I15" s="377">
        <v>871</v>
      </c>
      <c r="J15" s="368">
        <f>SUM(J12:J14)</f>
        <v>895</v>
      </c>
      <c r="K15" s="375">
        <f t="shared" si="3"/>
        <v>2.7554535017221582</v>
      </c>
      <c r="L15" s="368">
        <v>332</v>
      </c>
      <c r="M15" s="368">
        <f>SUM(M12:M14)</f>
        <v>345</v>
      </c>
      <c r="N15" s="376">
        <f t="shared" si="4"/>
        <v>3.9156626506024099</v>
      </c>
      <c r="O15" s="377">
        <v>2669</v>
      </c>
      <c r="P15" s="368">
        <f>SUM(P12:P14)</f>
        <v>2680</v>
      </c>
      <c r="Q15" s="375">
        <f t="shared" si="5"/>
        <v>0.4121393780442113</v>
      </c>
      <c r="R15" s="368">
        <v>0</v>
      </c>
      <c r="S15" s="368">
        <f>SUM(S12:S14)</f>
        <v>1</v>
      </c>
      <c r="T15" s="368"/>
      <c r="U15" s="377">
        <f>SUM(U12:U14)</f>
        <v>4008</v>
      </c>
      <c r="V15" s="368">
        <f>SUM(V12:V14)</f>
        <v>4061</v>
      </c>
      <c r="W15" s="375">
        <f t="shared" si="6"/>
        <v>1.3223552894211577</v>
      </c>
    </row>
    <row r="16" spans="1:23" ht="15.75" customHeight="1">
      <c r="A16" s="365" t="s">
        <v>682</v>
      </c>
      <c r="B16" s="350" t="s">
        <v>890</v>
      </c>
      <c r="C16" s="367">
        <v>34</v>
      </c>
      <c r="D16" s="368">
        <v>31</v>
      </c>
      <c r="E16" s="375">
        <f t="shared" si="1"/>
        <v>-8.8235294117647065</v>
      </c>
      <c r="F16" s="368">
        <v>1</v>
      </c>
      <c r="G16" s="368">
        <v>8</v>
      </c>
      <c r="H16" s="376">
        <f t="shared" si="2"/>
        <v>700</v>
      </c>
      <c r="I16" s="377">
        <v>274</v>
      </c>
      <c r="J16" s="378">
        <v>277</v>
      </c>
      <c r="K16" s="375">
        <f t="shared" si="3"/>
        <v>1.0948905109489051</v>
      </c>
      <c r="L16" s="368">
        <v>151</v>
      </c>
      <c r="M16" s="368">
        <v>159</v>
      </c>
      <c r="N16" s="376">
        <f t="shared" si="4"/>
        <v>5.298013245033113</v>
      </c>
      <c r="O16" s="377">
        <v>951</v>
      </c>
      <c r="P16" s="378">
        <v>1033</v>
      </c>
      <c r="Q16" s="375">
        <f t="shared" si="5"/>
        <v>8.6225026288117768</v>
      </c>
      <c r="R16" s="368">
        <v>6</v>
      </c>
      <c r="S16" s="368"/>
      <c r="T16" s="368"/>
      <c r="U16" s="377">
        <f t="shared" ref="U16:V18" si="7">+R16+O16+L16+I16+F16+C16</f>
        <v>1417</v>
      </c>
      <c r="V16" s="378">
        <f t="shared" si="7"/>
        <v>1508</v>
      </c>
      <c r="W16" s="375">
        <f t="shared" si="6"/>
        <v>6.4220183486238538</v>
      </c>
    </row>
    <row r="17" spans="1:23" ht="15.75" customHeight="1">
      <c r="A17" s="365"/>
      <c r="B17" s="303" t="s">
        <v>1342</v>
      </c>
      <c r="C17" s="367">
        <v>5</v>
      </c>
      <c r="D17" s="368">
        <v>6</v>
      </c>
      <c r="E17" s="375">
        <f t="shared" si="1"/>
        <v>20</v>
      </c>
      <c r="F17" s="368">
        <v>1</v>
      </c>
      <c r="G17" s="368">
        <v>1</v>
      </c>
      <c r="H17" s="376">
        <f t="shared" si="2"/>
        <v>0</v>
      </c>
      <c r="I17" s="377">
        <v>48</v>
      </c>
      <c r="J17" s="378">
        <v>54</v>
      </c>
      <c r="K17" s="375">
        <f t="shared" si="3"/>
        <v>12.5</v>
      </c>
      <c r="L17" s="368">
        <v>23</v>
      </c>
      <c r="M17" s="368">
        <v>30</v>
      </c>
      <c r="N17" s="376">
        <f t="shared" si="4"/>
        <v>30.434782608695656</v>
      </c>
      <c r="O17" s="377">
        <v>159</v>
      </c>
      <c r="P17" s="378">
        <v>151</v>
      </c>
      <c r="Q17" s="375">
        <f t="shared" si="5"/>
        <v>-5.0314465408805038</v>
      </c>
      <c r="R17" s="368"/>
      <c r="S17" s="368"/>
      <c r="T17" s="368"/>
      <c r="U17" s="377">
        <f t="shared" si="7"/>
        <v>236</v>
      </c>
      <c r="V17" s="378">
        <f t="shared" si="7"/>
        <v>242</v>
      </c>
      <c r="W17" s="375">
        <f t="shared" si="6"/>
        <v>2.5423728813559325</v>
      </c>
    </row>
    <row r="18" spans="1:23" ht="15.75" customHeight="1">
      <c r="A18" s="365" t="s">
        <v>891</v>
      </c>
      <c r="B18" s="350" t="s">
        <v>892</v>
      </c>
      <c r="C18" s="367">
        <v>27</v>
      </c>
      <c r="D18" s="368">
        <v>16</v>
      </c>
      <c r="E18" s="375">
        <f t="shared" si="1"/>
        <v>-40.74074074074074</v>
      </c>
      <c r="F18" s="368">
        <v>3</v>
      </c>
      <c r="G18" s="368">
        <v>3</v>
      </c>
      <c r="H18" s="376">
        <f t="shared" si="2"/>
        <v>0</v>
      </c>
      <c r="I18" s="377">
        <v>161</v>
      </c>
      <c r="J18" s="378">
        <v>216</v>
      </c>
      <c r="K18" s="375">
        <f t="shared" si="3"/>
        <v>34.161490683229815</v>
      </c>
      <c r="L18" s="368">
        <v>81</v>
      </c>
      <c r="M18" s="368">
        <v>141</v>
      </c>
      <c r="N18" s="376">
        <f t="shared" si="4"/>
        <v>74.074074074074076</v>
      </c>
      <c r="O18" s="377">
        <v>652</v>
      </c>
      <c r="P18" s="378">
        <v>771</v>
      </c>
      <c r="Q18" s="375">
        <f t="shared" si="5"/>
        <v>18.25153374233129</v>
      </c>
      <c r="R18" s="368"/>
      <c r="S18" s="368"/>
      <c r="T18" s="368"/>
      <c r="U18" s="377">
        <f t="shared" si="7"/>
        <v>924</v>
      </c>
      <c r="V18" s="378">
        <f t="shared" si="7"/>
        <v>1147</v>
      </c>
      <c r="W18" s="375">
        <f t="shared" si="6"/>
        <v>24.134199134199132</v>
      </c>
    </row>
    <row r="19" spans="1:23" ht="15.75" customHeight="1">
      <c r="A19" s="365" t="s">
        <v>683</v>
      </c>
      <c r="B19" s="350" t="s">
        <v>893</v>
      </c>
      <c r="C19" s="367">
        <v>38</v>
      </c>
      <c r="D19" s="368">
        <v>29</v>
      </c>
      <c r="E19" s="375">
        <f t="shared" si="1"/>
        <v>-23.684210526315788</v>
      </c>
      <c r="F19" s="368">
        <v>9</v>
      </c>
      <c r="G19" s="368">
        <v>2</v>
      </c>
      <c r="H19" s="376">
        <f t="shared" si="2"/>
        <v>-77.777777777777786</v>
      </c>
      <c r="I19" s="377">
        <v>134</v>
      </c>
      <c r="J19" s="378">
        <v>160</v>
      </c>
      <c r="K19" s="375">
        <f t="shared" si="3"/>
        <v>19.402985074626866</v>
      </c>
      <c r="L19" s="368">
        <v>53</v>
      </c>
      <c r="M19" s="368">
        <v>71</v>
      </c>
      <c r="N19" s="376">
        <f t="shared" si="4"/>
        <v>33.962264150943398</v>
      </c>
      <c r="O19" s="377">
        <v>442</v>
      </c>
      <c r="P19" s="378">
        <v>574</v>
      </c>
      <c r="Q19" s="375">
        <f t="shared" si="5"/>
        <v>29.864253393665159</v>
      </c>
      <c r="R19" s="368"/>
      <c r="S19" s="368"/>
      <c r="T19" s="368"/>
      <c r="U19" s="377">
        <f t="shared" ref="U19:V25" si="8">+R19+O19+L19+I19+F19+C19</f>
        <v>676</v>
      </c>
      <c r="V19" s="378">
        <f t="shared" si="8"/>
        <v>836</v>
      </c>
      <c r="W19" s="375">
        <f t="shared" si="6"/>
        <v>23.668639053254438</v>
      </c>
    </row>
    <row r="20" spans="1:23" ht="21.75" customHeight="1">
      <c r="A20" s="365" t="s">
        <v>894</v>
      </c>
      <c r="B20" s="366" t="s">
        <v>894</v>
      </c>
      <c r="C20" s="367">
        <v>212</v>
      </c>
      <c r="D20" s="368">
        <f>SUM(D15:D19)</f>
        <v>211</v>
      </c>
      <c r="E20" s="375">
        <f t="shared" si="1"/>
        <v>-0.47169811320754718</v>
      </c>
      <c r="F20" s="368">
        <v>42</v>
      </c>
      <c r="G20" s="368">
        <f>SUM(G15:G19)</f>
        <v>25</v>
      </c>
      <c r="H20" s="376">
        <f t="shared" si="2"/>
        <v>-40.476190476190474</v>
      </c>
      <c r="I20" s="377">
        <v>1488</v>
      </c>
      <c r="J20" s="378">
        <f>SUM(J15:J19)</f>
        <v>1602</v>
      </c>
      <c r="K20" s="375">
        <f t="shared" si="3"/>
        <v>7.661290322580645</v>
      </c>
      <c r="L20" s="368">
        <v>640</v>
      </c>
      <c r="M20" s="368">
        <f>SUM(M15:M19)</f>
        <v>746</v>
      </c>
      <c r="N20" s="376">
        <f t="shared" si="4"/>
        <v>16.5625</v>
      </c>
      <c r="O20" s="377">
        <v>4873</v>
      </c>
      <c r="P20" s="378">
        <f>SUM(P15:P19)</f>
        <v>5209</v>
      </c>
      <c r="Q20" s="375">
        <f t="shared" si="5"/>
        <v>6.8951364662425618</v>
      </c>
      <c r="R20" s="368">
        <v>6</v>
      </c>
      <c r="S20" s="368">
        <f>SUM(S15:S19)</f>
        <v>1</v>
      </c>
      <c r="T20" s="376">
        <f>(+S20-R20)/R20*100</f>
        <v>-83.333333333333343</v>
      </c>
      <c r="U20" s="377">
        <f>SUM(U15:U19)</f>
        <v>7261</v>
      </c>
      <c r="V20" s="378">
        <f>SUM(V15:V19)</f>
        <v>7794</v>
      </c>
      <c r="W20" s="375">
        <f t="shared" si="6"/>
        <v>7.3405866960473771</v>
      </c>
    </row>
    <row r="21" spans="1:23" ht="15.75" customHeight="1">
      <c r="A21" s="365"/>
      <c r="B21" s="366"/>
      <c r="C21" s="367"/>
      <c r="D21" s="368"/>
      <c r="E21" s="375"/>
      <c r="F21" s="368"/>
      <c r="G21" s="368"/>
      <c r="H21" s="376"/>
      <c r="I21" s="377"/>
      <c r="J21" s="378"/>
      <c r="K21" s="375"/>
      <c r="L21" s="368"/>
      <c r="M21" s="368"/>
      <c r="N21" s="376"/>
      <c r="O21" s="377"/>
      <c r="P21" s="378"/>
      <c r="Q21" s="375"/>
      <c r="R21" s="368"/>
      <c r="S21" s="368"/>
      <c r="T21" s="376"/>
      <c r="U21" s="377"/>
      <c r="V21" s="378"/>
      <c r="W21" s="375"/>
    </row>
    <row r="22" spans="1:23" ht="15.75" customHeight="1">
      <c r="A22" s="365" t="s">
        <v>684</v>
      </c>
      <c r="B22" s="350" t="s">
        <v>895</v>
      </c>
      <c r="C22" s="367">
        <v>77</v>
      </c>
      <c r="D22" s="368">
        <v>47</v>
      </c>
      <c r="E22" s="375">
        <f>(+D22-C22)/C22*100</f>
        <v>-38.961038961038966</v>
      </c>
      <c r="F22" s="368">
        <v>12</v>
      </c>
      <c r="G22" s="368">
        <v>8</v>
      </c>
      <c r="H22" s="376">
        <f>(+G22-F22)/F22*100</f>
        <v>-33.333333333333329</v>
      </c>
      <c r="I22" s="377">
        <v>447</v>
      </c>
      <c r="J22" s="378">
        <v>474</v>
      </c>
      <c r="K22" s="375">
        <f>(+J22-I22)/I22*100</f>
        <v>6.0402684563758395</v>
      </c>
      <c r="L22" s="368">
        <v>222</v>
      </c>
      <c r="M22" s="368">
        <v>215</v>
      </c>
      <c r="N22" s="376">
        <f>(+M22-L22)/L22*100</f>
        <v>-3.1531531531531529</v>
      </c>
      <c r="O22" s="377">
        <v>1267</v>
      </c>
      <c r="P22" s="378">
        <v>1259</v>
      </c>
      <c r="Q22" s="375">
        <f>(+P22-O22)/O22*100</f>
        <v>-0.63141278610891871</v>
      </c>
      <c r="R22" s="368">
        <v>1</v>
      </c>
      <c r="S22" s="368">
        <v>4</v>
      </c>
      <c r="T22" s="376">
        <f>(+S22-R22)/R22*100</f>
        <v>300</v>
      </c>
      <c r="U22" s="377">
        <f t="shared" si="8"/>
        <v>2026</v>
      </c>
      <c r="V22" s="378">
        <f t="shared" si="8"/>
        <v>2007</v>
      </c>
      <c r="W22" s="375">
        <f t="shared" si="6"/>
        <v>-0.93780848963474828</v>
      </c>
    </row>
    <row r="23" spans="1:23" ht="15.75" customHeight="1">
      <c r="A23" s="365"/>
      <c r="B23" s="350" t="s">
        <v>896</v>
      </c>
      <c r="C23" s="367">
        <v>85</v>
      </c>
      <c r="D23" s="368">
        <v>76</v>
      </c>
      <c r="E23" s="375">
        <f>(+D23-C23)/C23*100</f>
        <v>-10.588235294117647</v>
      </c>
      <c r="F23" s="368">
        <v>5</v>
      </c>
      <c r="G23" s="368">
        <v>14</v>
      </c>
      <c r="H23" s="376">
        <f>(+G23-F23)/F23*100</f>
        <v>180</v>
      </c>
      <c r="I23" s="377">
        <v>652</v>
      </c>
      <c r="J23" s="378">
        <v>607</v>
      </c>
      <c r="K23" s="375">
        <f>(+J23-I23)/I23*100</f>
        <v>-6.9018404907975466</v>
      </c>
      <c r="L23" s="368">
        <v>222</v>
      </c>
      <c r="M23" s="368">
        <v>213</v>
      </c>
      <c r="N23" s="376">
        <f>(+M23-L23)/L23*100</f>
        <v>-4.0540540540540544</v>
      </c>
      <c r="O23" s="377">
        <v>1907</v>
      </c>
      <c r="P23" s="378">
        <v>1957</v>
      </c>
      <c r="Q23" s="375">
        <f>(+P23-O23)/O23*100</f>
        <v>2.6219192448872572</v>
      </c>
      <c r="R23" s="368">
        <v>1</v>
      </c>
      <c r="S23" s="368"/>
      <c r="T23" s="376">
        <f>(+S23-R23)/R23*100</f>
        <v>-100</v>
      </c>
      <c r="U23" s="377">
        <f t="shared" si="8"/>
        <v>2872</v>
      </c>
      <c r="V23" s="378">
        <f t="shared" si="8"/>
        <v>2867</v>
      </c>
      <c r="W23" s="375">
        <f t="shared" si="6"/>
        <v>-0.17409470752089137</v>
      </c>
    </row>
    <row r="24" spans="1:23" ht="15.75" customHeight="1">
      <c r="A24" s="365"/>
      <c r="B24" s="350" t="s">
        <v>992</v>
      </c>
      <c r="C24" s="367">
        <v>5</v>
      </c>
      <c r="D24" s="368">
        <v>10</v>
      </c>
      <c r="E24" s="375">
        <f>(+D24-C24)/C24*100</f>
        <v>100</v>
      </c>
      <c r="F24" s="368">
        <v>2</v>
      </c>
      <c r="G24" s="368">
        <v>1</v>
      </c>
      <c r="H24" s="376">
        <f>(+G24-F24)/F24*100</f>
        <v>-50</v>
      </c>
      <c r="I24" s="377">
        <v>49</v>
      </c>
      <c r="J24" s="378">
        <v>56</v>
      </c>
      <c r="K24" s="375">
        <f>(+J24-I24)/I24*100</f>
        <v>14.285714285714285</v>
      </c>
      <c r="L24" s="368">
        <v>14</v>
      </c>
      <c r="M24" s="368">
        <v>15</v>
      </c>
      <c r="N24" s="376">
        <f>(+M24-L24)/L24*100</f>
        <v>7.1428571428571423</v>
      </c>
      <c r="O24" s="377">
        <v>184</v>
      </c>
      <c r="P24" s="378">
        <v>186</v>
      </c>
      <c r="Q24" s="375">
        <f>(+P24-O24)/O24*100</f>
        <v>1.0869565217391304</v>
      </c>
      <c r="R24" s="368"/>
      <c r="S24" s="368"/>
      <c r="T24" s="375"/>
      <c r="U24" s="378">
        <f t="shared" si="8"/>
        <v>254</v>
      </c>
      <c r="V24" s="378">
        <f t="shared" si="8"/>
        <v>268</v>
      </c>
      <c r="W24" s="375">
        <f t="shared" si="6"/>
        <v>5.5118110236220472</v>
      </c>
    </row>
    <row r="25" spans="1:23" ht="15.75" customHeight="1">
      <c r="A25" s="365"/>
      <c r="B25" s="350" t="s">
        <v>897</v>
      </c>
      <c r="C25" s="367">
        <v>38</v>
      </c>
      <c r="D25" s="368">
        <v>14</v>
      </c>
      <c r="E25" s="375">
        <f t="shared" si="1"/>
        <v>-63.157894736842103</v>
      </c>
      <c r="F25" s="368">
        <v>0</v>
      </c>
      <c r="G25" s="368">
        <v>2</v>
      </c>
      <c r="H25" s="376"/>
      <c r="I25" s="377">
        <v>96</v>
      </c>
      <c r="J25" s="378">
        <v>84</v>
      </c>
      <c r="K25" s="375">
        <f t="shared" si="3"/>
        <v>-12.5</v>
      </c>
      <c r="L25" s="368">
        <v>37</v>
      </c>
      <c r="M25" s="368">
        <v>33</v>
      </c>
      <c r="N25" s="376">
        <f t="shared" si="4"/>
        <v>-10.810810810810811</v>
      </c>
      <c r="O25" s="377">
        <v>316</v>
      </c>
      <c r="P25" s="378">
        <v>335</v>
      </c>
      <c r="Q25" s="375">
        <f t="shared" si="5"/>
        <v>6.0126582278481013</v>
      </c>
      <c r="R25" s="368"/>
      <c r="S25" s="368"/>
      <c r="T25" s="368"/>
      <c r="U25" s="377">
        <f t="shared" si="8"/>
        <v>487</v>
      </c>
      <c r="V25" s="378">
        <f t="shared" si="8"/>
        <v>468</v>
      </c>
      <c r="W25" s="375">
        <f t="shared" si="6"/>
        <v>-3.9014373716632447</v>
      </c>
    </row>
    <row r="26" spans="1:23" ht="15.75" customHeight="1">
      <c r="A26" s="365"/>
      <c r="B26" s="366" t="s">
        <v>819</v>
      </c>
      <c r="C26" s="367">
        <v>205</v>
      </c>
      <c r="D26" s="368">
        <f>SUM(D22:D25)</f>
        <v>147</v>
      </c>
      <c r="E26" s="375">
        <f t="shared" si="1"/>
        <v>-28.292682926829265</v>
      </c>
      <c r="F26" s="368">
        <v>19</v>
      </c>
      <c r="G26" s="368">
        <f>SUM(G22:G25)</f>
        <v>25</v>
      </c>
      <c r="H26" s="376">
        <f t="shared" si="2"/>
        <v>31.578947368421051</v>
      </c>
      <c r="I26" s="377">
        <v>1244</v>
      </c>
      <c r="J26" s="378">
        <f>SUM(J22:J25)</f>
        <v>1221</v>
      </c>
      <c r="K26" s="375">
        <f t="shared" si="3"/>
        <v>-1.8488745980707395</v>
      </c>
      <c r="L26" s="368">
        <v>495</v>
      </c>
      <c r="M26" s="368">
        <f>SUM(M22:M25)</f>
        <v>476</v>
      </c>
      <c r="N26" s="376">
        <f t="shared" si="4"/>
        <v>-3.8383838383838382</v>
      </c>
      <c r="O26" s="377">
        <v>3674</v>
      </c>
      <c r="P26" s="378">
        <f>SUM(P22:P25)</f>
        <v>3737</v>
      </c>
      <c r="Q26" s="375">
        <f t="shared" si="5"/>
        <v>1.7147523135547089</v>
      </c>
      <c r="R26" s="368">
        <v>2</v>
      </c>
      <c r="S26" s="368">
        <f>SUM(S22:S25)</f>
        <v>4</v>
      </c>
      <c r="T26" s="368">
        <f>(+S26-R26)/R26*100</f>
        <v>100</v>
      </c>
      <c r="U26" s="377">
        <f>SUM(U22:U25)</f>
        <v>5639</v>
      </c>
      <c r="V26" s="378">
        <f>SUM(V22:V25)</f>
        <v>5610</v>
      </c>
      <c r="W26" s="375">
        <f t="shared" si="6"/>
        <v>-0.51427558077673341</v>
      </c>
    </row>
    <row r="27" spans="1:23" ht="15.75" customHeight="1">
      <c r="A27" s="365" t="s">
        <v>685</v>
      </c>
      <c r="B27" s="350" t="s">
        <v>898</v>
      </c>
      <c r="C27" s="367">
        <v>17</v>
      </c>
      <c r="D27" s="368">
        <v>34</v>
      </c>
      <c r="E27" s="375">
        <f t="shared" si="1"/>
        <v>100</v>
      </c>
      <c r="F27" s="368">
        <v>3</v>
      </c>
      <c r="G27" s="368">
        <v>6</v>
      </c>
      <c r="H27" s="376">
        <f t="shared" si="2"/>
        <v>100</v>
      </c>
      <c r="I27" s="377">
        <v>191</v>
      </c>
      <c r="J27" s="378">
        <v>260</v>
      </c>
      <c r="K27" s="375">
        <f t="shared" si="3"/>
        <v>36.125654450261777</v>
      </c>
      <c r="L27" s="368">
        <v>82</v>
      </c>
      <c r="M27" s="368">
        <v>129</v>
      </c>
      <c r="N27" s="376">
        <f t="shared" si="4"/>
        <v>57.317073170731703</v>
      </c>
      <c r="O27" s="377">
        <v>748</v>
      </c>
      <c r="P27" s="378">
        <v>761</v>
      </c>
      <c r="Q27" s="375">
        <f t="shared" si="5"/>
        <v>1.7379679144385027</v>
      </c>
      <c r="R27" s="368"/>
      <c r="S27" s="368"/>
      <c r="T27" s="368"/>
      <c r="U27" s="377">
        <f t="shared" ref="U27:V33" si="9">+R27+O27+L27+I27+F27+C27</f>
        <v>1041</v>
      </c>
      <c r="V27" s="378">
        <f t="shared" si="9"/>
        <v>1190</v>
      </c>
      <c r="W27" s="375">
        <f t="shared" si="6"/>
        <v>14.31316042267051</v>
      </c>
    </row>
    <row r="28" spans="1:23" ht="15.75" customHeight="1">
      <c r="A28" s="365" t="s">
        <v>686</v>
      </c>
      <c r="B28" s="350" t="s">
        <v>899</v>
      </c>
      <c r="C28" s="367">
        <v>32</v>
      </c>
      <c r="D28" s="368">
        <v>29</v>
      </c>
      <c r="E28" s="375">
        <f t="shared" si="1"/>
        <v>-9.375</v>
      </c>
      <c r="F28" s="368">
        <v>1</v>
      </c>
      <c r="G28" s="368">
        <v>6</v>
      </c>
      <c r="H28" s="376">
        <f t="shared" si="2"/>
        <v>500</v>
      </c>
      <c r="I28" s="377">
        <v>246</v>
      </c>
      <c r="J28" s="378">
        <v>217</v>
      </c>
      <c r="K28" s="375">
        <f t="shared" si="3"/>
        <v>-11.788617886178862</v>
      </c>
      <c r="L28" s="368">
        <v>79</v>
      </c>
      <c r="M28" s="368">
        <v>84</v>
      </c>
      <c r="N28" s="376">
        <f t="shared" si="4"/>
        <v>6.3291139240506329</v>
      </c>
      <c r="O28" s="377">
        <v>611</v>
      </c>
      <c r="P28" s="378">
        <v>622</v>
      </c>
      <c r="Q28" s="375">
        <f t="shared" si="5"/>
        <v>1.800327332242226</v>
      </c>
      <c r="R28" s="368"/>
      <c r="S28" s="368"/>
      <c r="T28" s="368"/>
      <c r="U28" s="377">
        <f t="shared" si="9"/>
        <v>969</v>
      </c>
      <c r="V28" s="378">
        <f t="shared" si="9"/>
        <v>958</v>
      </c>
      <c r="W28" s="375">
        <f t="shared" si="6"/>
        <v>-1.1351909184726523</v>
      </c>
    </row>
    <row r="29" spans="1:23" ht="15.75" customHeight="1">
      <c r="A29" s="365"/>
      <c r="B29" s="350" t="s">
        <v>900</v>
      </c>
      <c r="C29" s="367">
        <v>3</v>
      </c>
      <c r="D29" s="368">
        <v>4</v>
      </c>
      <c r="E29" s="375">
        <f t="shared" si="1"/>
        <v>33.333333333333329</v>
      </c>
      <c r="F29" s="368">
        <v>1</v>
      </c>
      <c r="G29" s="368">
        <v>1</v>
      </c>
      <c r="H29" s="376">
        <f t="shared" si="2"/>
        <v>0</v>
      </c>
      <c r="I29" s="377">
        <v>23</v>
      </c>
      <c r="J29" s="378">
        <v>36</v>
      </c>
      <c r="K29" s="375">
        <f t="shared" si="3"/>
        <v>56.521739130434781</v>
      </c>
      <c r="L29" s="368">
        <v>8</v>
      </c>
      <c r="M29" s="368">
        <v>5</v>
      </c>
      <c r="N29" s="376">
        <f t="shared" si="4"/>
        <v>-37.5</v>
      </c>
      <c r="O29" s="377">
        <v>93</v>
      </c>
      <c r="P29" s="378">
        <v>90</v>
      </c>
      <c r="Q29" s="375">
        <f t="shared" si="5"/>
        <v>-3.225806451612903</v>
      </c>
      <c r="R29" s="368"/>
      <c r="S29" s="368"/>
      <c r="T29" s="368"/>
      <c r="U29" s="377">
        <f t="shared" si="9"/>
        <v>128</v>
      </c>
      <c r="V29" s="378">
        <f t="shared" si="9"/>
        <v>136</v>
      </c>
      <c r="W29" s="375">
        <f t="shared" si="6"/>
        <v>6.25</v>
      </c>
    </row>
    <row r="30" spans="1:23" ht="15.75" customHeight="1">
      <c r="A30" s="365" t="s">
        <v>687</v>
      </c>
      <c r="B30" s="350" t="s">
        <v>901</v>
      </c>
      <c r="C30" s="367">
        <v>6</v>
      </c>
      <c r="D30" s="368">
        <v>8</v>
      </c>
      <c r="E30" s="375">
        <f t="shared" si="1"/>
        <v>33.333333333333329</v>
      </c>
      <c r="F30" s="368">
        <v>0</v>
      </c>
      <c r="G30" s="368"/>
      <c r="H30" s="376"/>
      <c r="I30" s="377">
        <v>96</v>
      </c>
      <c r="J30" s="378">
        <v>86</v>
      </c>
      <c r="K30" s="375">
        <f t="shared" si="3"/>
        <v>-10.416666666666668</v>
      </c>
      <c r="L30" s="368">
        <v>46</v>
      </c>
      <c r="M30" s="368">
        <v>37</v>
      </c>
      <c r="N30" s="376">
        <f t="shared" si="4"/>
        <v>-19.565217391304348</v>
      </c>
      <c r="O30" s="377">
        <v>443</v>
      </c>
      <c r="P30" s="378">
        <v>357</v>
      </c>
      <c r="Q30" s="375">
        <f t="shared" si="5"/>
        <v>-19.413092550790068</v>
      </c>
      <c r="R30" s="368"/>
      <c r="S30" s="368"/>
      <c r="T30" s="368"/>
      <c r="U30" s="377">
        <f t="shared" si="9"/>
        <v>591</v>
      </c>
      <c r="V30" s="378">
        <f t="shared" si="9"/>
        <v>488</v>
      </c>
      <c r="W30" s="375">
        <f t="shared" si="6"/>
        <v>-17.428087986463623</v>
      </c>
    </row>
    <row r="31" spans="1:23" ht="15.75" customHeight="1">
      <c r="A31" s="365" t="s">
        <v>688</v>
      </c>
      <c r="B31" s="350" t="s">
        <v>902</v>
      </c>
      <c r="C31" s="367">
        <v>93</v>
      </c>
      <c r="D31" s="368">
        <v>108</v>
      </c>
      <c r="E31" s="375">
        <f t="shared" si="1"/>
        <v>16.129032258064516</v>
      </c>
      <c r="F31" s="368">
        <v>8</v>
      </c>
      <c r="G31" s="368">
        <v>22</v>
      </c>
      <c r="H31" s="376">
        <f t="shared" si="2"/>
        <v>175</v>
      </c>
      <c r="I31" s="377">
        <v>538</v>
      </c>
      <c r="J31" s="378">
        <v>547</v>
      </c>
      <c r="K31" s="375">
        <f t="shared" si="3"/>
        <v>1.6728624535315983</v>
      </c>
      <c r="L31" s="368">
        <v>292</v>
      </c>
      <c r="M31" s="368">
        <v>258</v>
      </c>
      <c r="N31" s="376">
        <f t="shared" si="4"/>
        <v>-11.643835616438356</v>
      </c>
      <c r="O31" s="377">
        <v>1250</v>
      </c>
      <c r="P31" s="378">
        <v>1296</v>
      </c>
      <c r="Q31" s="375">
        <f t="shared" si="5"/>
        <v>3.6799999999999997</v>
      </c>
      <c r="R31" s="368"/>
      <c r="S31" s="368">
        <v>1</v>
      </c>
      <c r="T31" s="368"/>
      <c r="U31" s="377">
        <f t="shared" si="9"/>
        <v>2181</v>
      </c>
      <c r="V31" s="378">
        <f t="shared" si="9"/>
        <v>2232</v>
      </c>
      <c r="W31" s="375">
        <f t="shared" si="6"/>
        <v>2.3383768913342506</v>
      </c>
    </row>
    <row r="32" spans="1:23" ht="15.75" customHeight="1">
      <c r="A32" s="365" t="s">
        <v>689</v>
      </c>
      <c r="B32" s="350" t="s">
        <v>903</v>
      </c>
      <c r="C32" s="367">
        <v>8</v>
      </c>
      <c r="D32" s="368">
        <v>6</v>
      </c>
      <c r="E32" s="375">
        <f t="shared" si="1"/>
        <v>-25</v>
      </c>
      <c r="F32" s="368"/>
      <c r="G32" s="368">
        <v>5</v>
      </c>
      <c r="H32" s="376"/>
      <c r="I32" s="377">
        <v>210</v>
      </c>
      <c r="J32" s="378">
        <v>236</v>
      </c>
      <c r="K32" s="375">
        <f t="shared" si="3"/>
        <v>12.380952380952381</v>
      </c>
      <c r="L32" s="368">
        <v>106</v>
      </c>
      <c r="M32" s="368">
        <v>125</v>
      </c>
      <c r="N32" s="376">
        <f t="shared" si="4"/>
        <v>17.924528301886792</v>
      </c>
      <c r="O32" s="377">
        <v>568</v>
      </c>
      <c r="P32" s="378">
        <v>543</v>
      </c>
      <c r="Q32" s="375">
        <f t="shared" si="5"/>
        <v>-4.401408450704225</v>
      </c>
      <c r="R32" s="368"/>
      <c r="S32" s="368"/>
      <c r="T32" s="376"/>
      <c r="U32" s="377">
        <f t="shared" si="9"/>
        <v>892</v>
      </c>
      <c r="V32" s="378">
        <f t="shared" si="9"/>
        <v>915</v>
      </c>
      <c r="W32" s="375">
        <f t="shared" si="6"/>
        <v>2.5784753363228701</v>
      </c>
    </row>
    <row r="33" spans="1:23" ht="15.75" customHeight="1">
      <c r="A33" s="365"/>
      <c r="B33" s="303" t="s">
        <v>1343</v>
      </c>
      <c r="C33" s="367">
        <v>2</v>
      </c>
      <c r="D33" s="368">
        <v>1</v>
      </c>
      <c r="E33" s="375">
        <f t="shared" si="1"/>
        <v>-50</v>
      </c>
      <c r="F33" s="368"/>
      <c r="G33" s="368">
        <v>1</v>
      </c>
      <c r="H33" s="376"/>
      <c r="I33" s="377">
        <v>28</v>
      </c>
      <c r="J33" s="378">
        <v>26</v>
      </c>
      <c r="K33" s="375">
        <f t="shared" si="3"/>
        <v>-7.1428571428571423</v>
      </c>
      <c r="L33" s="368">
        <v>17</v>
      </c>
      <c r="M33" s="368">
        <v>20</v>
      </c>
      <c r="N33" s="376">
        <f t="shared" si="4"/>
        <v>17.647058823529413</v>
      </c>
      <c r="O33" s="377">
        <v>74</v>
      </c>
      <c r="P33" s="378">
        <v>82</v>
      </c>
      <c r="Q33" s="375">
        <f t="shared" si="5"/>
        <v>10.810810810810811</v>
      </c>
      <c r="R33" s="368"/>
      <c r="S33" s="368"/>
      <c r="T33" s="376"/>
      <c r="U33" s="377">
        <f t="shared" si="9"/>
        <v>121</v>
      </c>
      <c r="V33" s="378">
        <f t="shared" si="9"/>
        <v>130</v>
      </c>
      <c r="W33" s="375">
        <f t="shared" si="6"/>
        <v>7.4380165289256199</v>
      </c>
    </row>
    <row r="34" spans="1:23" ht="15.75" customHeight="1">
      <c r="A34" s="365" t="s">
        <v>894</v>
      </c>
      <c r="B34" s="366" t="s">
        <v>894</v>
      </c>
      <c r="C34" s="368">
        <f>SUM(C26:C33)</f>
        <v>366</v>
      </c>
      <c r="D34" s="368">
        <f>SUM(D26:D33)</f>
        <v>337</v>
      </c>
      <c r="E34" s="375">
        <f t="shared" si="1"/>
        <v>-7.9234972677595632</v>
      </c>
      <c r="F34" s="368">
        <f>SUM(F26:F33)</f>
        <v>32</v>
      </c>
      <c r="G34" s="368">
        <f>SUM(G26:G33)</f>
        <v>66</v>
      </c>
      <c r="H34" s="376">
        <f t="shared" si="2"/>
        <v>106.25</v>
      </c>
      <c r="I34" s="367">
        <f>SUM(I26:I33)</f>
        <v>2576</v>
      </c>
      <c r="J34" s="368">
        <f>SUM(J26:J33)</f>
        <v>2629</v>
      </c>
      <c r="K34" s="375">
        <f t="shared" si="3"/>
        <v>2.0574534161490683</v>
      </c>
      <c r="L34" s="368">
        <f>SUM(L26:L33)</f>
        <v>1125</v>
      </c>
      <c r="M34" s="368">
        <f>SUM(M26:M33)</f>
        <v>1134</v>
      </c>
      <c r="N34" s="376">
        <f t="shared" si="4"/>
        <v>0.8</v>
      </c>
      <c r="O34" s="367">
        <f>SUM(O26:O33)</f>
        <v>7461</v>
      </c>
      <c r="P34" s="368">
        <f>SUM(P26:P33)</f>
        <v>7488</v>
      </c>
      <c r="Q34" s="375">
        <f t="shared" si="5"/>
        <v>0.36188178528347409</v>
      </c>
      <c r="R34" s="368">
        <f>SUM(R26:R33)</f>
        <v>2</v>
      </c>
      <c r="S34" s="368">
        <f>SUM(S26:S33)</f>
        <v>5</v>
      </c>
      <c r="T34" s="368">
        <f>(+S34-R34)/R34*100</f>
        <v>150</v>
      </c>
      <c r="U34" s="377">
        <f>SUM(U26:U33)</f>
        <v>11562</v>
      </c>
      <c r="V34" s="368">
        <f>SUM(V26:V33)</f>
        <v>11659</v>
      </c>
      <c r="W34" s="375">
        <f t="shared" si="6"/>
        <v>0.83895519806261898</v>
      </c>
    </row>
    <row r="35" spans="1:23" ht="20.25" customHeight="1">
      <c r="A35" s="370" t="s">
        <v>690</v>
      </c>
      <c r="B35" s="371"/>
      <c r="C35" s="372">
        <f>+C20+C34</f>
        <v>578</v>
      </c>
      <c r="D35" s="373">
        <f>+D20+D34</f>
        <v>548</v>
      </c>
      <c r="E35" s="379">
        <f>(+D35-C35)/C35*100</f>
        <v>-5.1903114186851207</v>
      </c>
      <c r="F35" s="373">
        <f>+F20+F34</f>
        <v>74</v>
      </c>
      <c r="G35" s="373">
        <f>+G20+G34</f>
        <v>91</v>
      </c>
      <c r="H35" s="380">
        <f>(+G35-F35)/F35*100</f>
        <v>22.972972972972975</v>
      </c>
      <c r="I35" s="381">
        <f>+I20+I34</f>
        <v>4064</v>
      </c>
      <c r="J35" s="382">
        <f>+J20+J34</f>
        <v>4231</v>
      </c>
      <c r="K35" s="379">
        <f>(+J35-I35)/I35*100</f>
        <v>4.109251968503937</v>
      </c>
      <c r="L35" s="373">
        <f>+L20+L34</f>
        <v>1765</v>
      </c>
      <c r="M35" s="373">
        <f>+M20+M34</f>
        <v>1880</v>
      </c>
      <c r="N35" s="380">
        <f>(+M35-L35)/L35*100</f>
        <v>6.5155807365439093</v>
      </c>
      <c r="O35" s="381">
        <f>+O20+O34</f>
        <v>12334</v>
      </c>
      <c r="P35" s="382">
        <f>+P20+P34</f>
        <v>12697</v>
      </c>
      <c r="Q35" s="379">
        <f>(+P35-O35)/O35*100</f>
        <v>2.9430841576131019</v>
      </c>
      <c r="R35" s="373">
        <f>+R20+R34</f>
        <v>8</v>
      </c>
      <c r="S35" s="373">
        <f>+S20+S34</f>
        <v>6</v>
      </c>
      <c r="T35" s="380">
        <f>(+S35-R35)/R35*100</f>
        <v>-25</v>
      </c>
      <c r="U35" s="381">
        <f>+U20+U34</f>
        <v>18823</v>
      </c>
      <c r="V35" s="382">
        <f>+V20+V34</f>
        <v>19453</v>
      </c>
      <c r="W35" s="379">
        <f>(+V35-U35)/U35*100</f>
        <v>3.3469691335068803</v>
      </c>
    </row>
    <row r="36" spans="1:23">
      <c r="A36" s="1186" t="s">
        <v>1470</v>
      </c>
    </row>
  </sheetData>
  <mergeCells count="10">
    <mergeCell ref="A1:W1"/>
    <mergeCell ref="A2:W2"/>
    <mergeCell ref="A3:W3"/>
    <mergeCell ref="U8:W8"/>
    <mergeCell ref="R8:T8"/>
    <mergeCell ref="O8:Q8"/>
    <mergeCell ref="L8:N8"/>
    <mergeCell ref="I8:K8"/>
    <mergeCell ref="F8:H8"/>
    <mergeCell ref="C8:E8"/>
  </mergeCells>
  <phoneticPr fontId="19" type="noConversion"/>
  <pageMargins left="0.78740157480314965" right="0.19685039370078741" top="0.98425196850393704" bottom="0.98425196850393704" header="0" footer="0"/>
  <pageSetup paperSize="5" scale="87" orientation="landscape" horizontalDpi="300" verticalDpi="300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35"/>
  <sheetViews>
    <sheetView topLeftCell="B28" zoomScale="80" workbookViewId="0">
      <selection activeCell="Q36" sqref="Q36"/>
    </sheetView>
  </sheetViews>
  <sheetFormatPr baseColWidth="10" defaultRowHeight="12.75"/>
  <cols>
    <col min="1" max="1" width="14.42578125" customWidth="1"/>
    <col min="2" max="2" width="20.85546875" customWidth="1"/>
    <col min="3" max="22" width="7" style="243" customWidth="1"/>
  </cols>
  <sheetData>
    <row r="1" spans="1:22">
      <c r="A1" s="1211" t="s">
        <v>916</v>
      </c>
      <c r="B1" s="1211"/>
      <c r="C1" s="1211"/>
      <c r="D1" s="1211"/>
      <c r="E1" s="1211"/>
      <c r="F1" s="1211"/>
      <c r="G1" s="1211"/>
      <c r="H1" s="1211"/>
      <c r="I1" s="1211"/>
      <c r="J1" s="1211"/>
      <c r="K1" s="1211"/>
      <c r="L1" s="1211"/>
      <c r="M1" s="1211"/>
      <c r="N1" s="1211"/>
      <c r="O1" s="1211"/>
      <c r="P1" s="1211"/>
      <c r="Q1" s="1211"/>
      <c r="R1" s="1211"/>
      <c r="S1" s="1211"/>
      <c r="T1" s="1211"/>
      <c r="U1" s="1211"/>
      <c r="V1" s="1211"/>
    </row>
    <row r="2" spans="1:22">
      <c r="A2" s="383"/>
      <c r="B2" s="383"/>
      <c r="C2" s="312"/>
      <c r="D2" s="312"/>
      <c r="E2" s="312"/>
      <c r="F2" s="312"/>
      <c r="G2" s="312"/>
      <c r="H2" s="312"/>
      <c r="I2" s="312"/>
      <c r="J2" s="312"/>
      <c r="K2" s="312"/>
      <c r="L2" s="312"/>
      <c r="M2" s="312"/>
      <c r="N2" s="312"/>
      <c r="O2" s="312"/>
      <c r="P2" s="312"/>
      <c r="Q2" s="312"/>
      <c r="R2" s="312"/>
      <c r="S2" s="312"/>
      <c r="T2" s="312"/>
      <c r="U2" s="312"/>
      <c r="V2" s="312"/>
    </row>
    <row r="3" spans="1:22">
      <c r="A3" s="1211" t="str">
        <f>+'43'!A3:W3</f>
        <v>VARIACION     DICIEMBRE    2013    -     2014</v>
      </c>
      <c r="B3" s="1211"/>
      <c r="C3" s="1211"/>
      <c r="D3" s="1211"/>
      <c r="E3" s="1211"/>
      <c r="F3" s="1211"/>
      <c r="G3" s="1211"/>
      <c r="H3" s="1211"/>
      <c r="I3" s="1211"/>
      <c r="J3" s="1211"/>
      <c r="K3" s="1211"/>
      <c r="L3" s="1211"/>
      <c r="M3" s="1211"/>
      <c r="N3" s="1211"/>
      <c r="O3" s="1211"/>
      <c r="P3" s="1211"/>
      <c r="Q3" s="1211"/>
      <c r="R3" s="1211"/>
      <c r="S3" s="1211"/>
      <c r="T3" s="1211"/>
      <c r="U3" s="1211"/>
      <c r="V3" s="1211"/>
    </row>
    <row r="9" spans="1:22" ht="15.75" customHeight="1">
      <c r="A9" s="384"/>
      <c r="B9" s="384"/>
      <c r="C9" s="1220" t="s">
        <v>706</v>
      </c>
      <c r="D9" s="1221"/>
      <c r="E9" s="1221"/>
      <c r="F9" s="1222"/>
      <c r="G9" s="1221" t="s">
        <v>917</v>
      </c>
      <c r="H9" s="1221"/>
      <c r="I9" s="1221"/>
      <c r="J9" s="1221"/>
      <c r="K9" s="1220" t="s">
        <v>911</v>
      </c>
      <c r="L9" s="1221"/>
      <c r="M9" s="1221"/>
      <c r="N9" s="1222"/>
      <c r="O9" s="1221" t="s">
        <v>913</v>
      </c>
      <c r="P9" s="1221"/>
      <c r="Q9" s="1221"/>
      <c r="R9" s="1221"/>
      <c r="S9" s="1220" t="s">
        <v>918</v>
      </c>
      <c r="T9" s="1221"/>
      <c r="U9" s="1221"/>
      <c r="V9" s="1222"/>
    </row>
    <row r="10" spans="1:22" ht="15.75" customHeight="1">
      <c r="A10" s="388" t="s">
        <v>590</v>
      </c>
      <c r="B10" s="388"/>
      <c r="C10" s="367">
        <f>+'43'!C10</f>
        <v>2013</v>
      </c>
      <c r="D10" s="368"/>
      <c r="E10" s="368">
        <f>+'43'!D10</f>
        <v>2014</v>
      </c>
      <c r="F10" s="369"/>
      <c r="G10" s="368">
        <f>+C10</f>
        <v>2013</v>
      </c>
      <c r="H10" s="368"/>
      <c r="I10" s="368">
        <f>+E10</f>
        <v>2014</v>
      </c>
      <c r="J10" s="368"/>
      <c r="K10" s="367">
        <f>+G10</f>
        <v>2013</v>
      </c>
      <c r="L10" s="368"/>
      <c r="M10" s="368">
        <f>+I10</f>
        <v>2014</v>
      </c>
      <c r="N10" s="369"/>
      <c r="O10" s="368">
        <f>+K10</f>
        <v>2013</v>
      </c>
      <c r="P10" s="368"/>
      <c r="Q10" s="368">
        <f>+M10</f>
        <v>2014</v>
      </c>
      <c r="R10" s="368"/>
      <c r="S10" s="367">
        <f>+O10</f>
        <v>2013</v>
      </c>
      <c r="T10" s="368"/>
      <c r="U10" s="368">
        <f>+Q10</f>
        <v>2014</v>
      </c>
      <c r="V10" s="369"/>
    </row>
    <row r="11" spans="1:22" ht="15.75" customHeight="1">
      <c r="A11" s="389"/>
      <c r="B11" s="389"/>
      <c r="C11" s="372" t="s">
        <v>736</v>
      </c>
      <c r="D11" s="373" t="s">
        <v>565</v>
      </c>
      <c r="E11" s="373" t="s">
        <v>736</v>
      </c>
      <c r="F11" s="374" t="s">
        <v>565</v>
      </c>
      <c r="G11" s="373" t="s">
        <v>736</v>
      </c>
      <c r="H11" s="373" t="s">
        <v>565</v>
      </c>
      <c r="I11" s="373" t="s">
        <v>736</v>
      </c>
      <c r="J11" s="373" t="s">
        <v>565</v>
      </c>
      <c r="K11" s="372" t="s">
        <v>736</v>
      </c>
      <c r="L11" s="373" t="s">
        <v>565</v>
      </c>
      <c r="M11" s="373" t="s">
        <v>736</v>
      </c>
      <c r="N11" s="374" t="s">
        <v>565</v>
      </c>
      <c r="O11" s="373" t="s">
        <v>736</v>
      </c>
      <c r="P11" s="373" t="s">
        <v>565</v>
      </c>
      <c r="Q11" s="373" t="s">
        <v>736</v>
      </c>
      <c r="R11" s="373" t="s">
        <v>565</v>
      </c>
      <c r="S11" s="372" t="s">
        <v>736</v>
      </c>
      <c r="T11" s="373" t="s">
        <v>565</v>
      </c>
      <c r="U11" s="373" t="s">
        <v>736</v>
      </c>
      <c r="V11" s="374" t="s">
        <v>565</v>
      </c>
    </row>
    <row r="12" spans="1:22" ht="15.75" customHeight="1">
      <c r="A12" s="388" t="s">
        <v>681</v>
      </c>
      <c r="B12" s="350" t="s">
        <v>887</v>
      </c>
      <c r="C12" s="367">
        <f>+G12+K12+O12+S12</f>
        <v>211</v>
      </c>
      <c r="D12" s="368">
        <f t="shared" ref="D12:F20" si="0">+H12+L12+P12+T12</f>
        <v>100.00000000000001</v>
      </c>
      <c r="E12" s="368">
        <f t="shared" si="0"/>
        <v>184</v>
      </c>
      <c r="F12" s="369">
        <f t="shared" si="0"/>
        <v>100</v>
      </c>
      <c r="G12" s="368">
        <v>62</v>
      </c>
      <c r="H12" s="376">
        <f>+G12/C12*100</f>
        <v>29.383886255924168</v>
      </c>
      <c r="I12" s="368">
        <v>38</v>
      </c>
      <c r="J12" s="376">
        <f>+I12/E12*100</f>
        <v>20.652173913043477</v>
      </c>
      <c r="K12" s="367">
        <v>69</v>
      </c>
      <c r="L12" s="376">
        <f>+K12/C12*100</f>
        <v>32.70142180094787</v>
      </c>
      <c r="M12" s="368">
        <v>66</v>
      </c>
      <c r="N12" s="375">
        <f>+M12/E12*100</f>
        <v>35.869565217391305</v>
      </c>
      <c r="O12" s="368">
        <v>65</v>
      </c>
      <c r="P12" s="376">
        <f>+O12/C12*100</f>
        <v>30.805687203791472</v>
      </c>
      <c r="Q12" s="368">
        <v>76</v>
      </c>
      <c r="R12" s="376">
        <f>+Q12/E12*100</f>
        <v>41.304347826086953</v>
      </c>
      <c r="S12" s="367">
        <v>15</v>
      </c>
      <c r="T12" s="376">
        <f>+S12/C12*100</f>
        <v>7.109004739336493</v>
      </c>
      <c r="U12" s="368">
        <v>4</v>
      </c>
      <c r="V12" s="375">
        <f>+U12/E12*100</f>
        <v>2.1739130434782608</v>
      </c>
    </row>
    <row r="13" spans="1:22" ht="15.75" customHeight="1">
      <c r="A13" s="388"/>
      <c r="B13" s="350" t="s">
        <v>888</v>
      </c>
      <c r="C13" s="367">
        <f>+G13+K13+O13+S13</f>
        <v>212</v>
      </c>
      <c r="D13" s="368">
        <f t="shared" si="0"/>
        <v>100</v>
      </c>
      <c r="E13" s="368">
        <f t="shared" si="0"/>
        <v>239</v>
      </c>
      <c r="F13" s="390">
        <f t="shared" si="0"/>
        <v>100</v>
      </c>
      <c r="G13" s="368">
        <v>52</v>
      </c>
      <c r="H13" s="376">
        <f>+G13/C13*100</f>
        <v>24.528301886792452</v>
      </c>
      <c r="I13" s="368">
        <v>61</v>
      </c>
      <c r="J13" s="376">
        <f>+I13/E13*100</f>
        <v>25.523012552301257</v>
      </c>
      <c r="K13" s="367">
        <v>51</v>
      </c>
      <c r="L13" s="376">
        <f>+K13/C13*100</f>
        <v>24.056603773584907</v>
      </c>
      <c r="M13" s="368">
        <v>79</v>
      </c>
      <c r="N13" s="375">
        <f>+M13/E13*100</f>
        <v>33.054393305439326</v>
      </c>
      <c r="O13" s="367">
        <v>80</v>
      </c>
      <c r="P13" s="376">
        <f>+O13/C13*100</f>
        <v>37.735849056603776</v>
      </c>
      <c r="Q13" s="368">
        <v>80</v>
      </c>
      <c r="R13" s="376">
        <f>+Q13/E13*100</f>
        <v>33.472803347280333</v>
      </c>
      <c r="S13" s="367">
        <v>29</v>
      </c>
      <c r="T13" s="376">
        <f>+S13/C13*100</f>
        <v>13.679245283018867</v>
      </c>
      <c r="U13" s="368">
        <v>19</v>
      </c>
      <c r="V13" s="375">
        <f>+U13/E13*100</f>
        <v>7.9497907949790791</v>
      </c>
    </row>
    <row r="14" spans="1:22" ht="15.75" customHeight="1">
      <c r="A14" s="388"/>
      <c r="B14" s="350" t="s">
        <v>889</v>
      </c>
      <c r="C14" s="367">
        <f>+G14+K14+O14+S14</f>
        <v>32</v>
      </c>
      <c r="D14" s="368">
        <f>+H14+L14+P14+T14</f>
        <v>100</v>
      </c>
      <c r="E14" s="368">
        <f>+I14+M14+Q14+U14</f>
        <v>27</v>
      </c>
      <c r="F14" s="390">
        <f>+J14+N14+R14+V14</f>
        <v>100</v>
      </c>
      <c r="G14" s="368">
        <v>10</v>
      </c>
      <c r="H14" s="376">
        <f>+G14/C14*100</f>
        <v>31.25</v>
      </c>
      <c r="I14" s="368">
        <v>6</v>
      </c>
      <c r="J14" s="376">
        <f>+I14/E14*100</f>
        <v>22.222222222222221</v>
      </c>
      <c r="K14" s="367">
        <v>8</v>
      </c>
      <c r="L14" s="376">
        <f>+K14/C14*100</f>
        <v>25</v>
      </c>
      <c r="M14" s="368">
        <v>11</v>
      </c>
      <c r="N14" s="375">
        <f>+M14/E14*100</f>
        <v>40.74074074074074</v>
      </c>
      <c r="O14" s="367">
        <v>11</v>
      </c>
      <c r="P14" s="376">
        <f>+O14/C14*100</f>
        <v>34.375</v>
      </c>
      <c r="Q14" s="368">
        <v>7</v>
      </c>
      <c r="R14" s="376">
        <f>+Q14/E14*100</f>
        <v>25.925925925925924</v>
      </c>
      <c r="S14" s="367">
        <v>3</v>
      </c>
      <c r="T14" s="376">
        <f>+S14/C14*100</f>
        <v>9.375</v>
      </c>
      <c r="U14" s="368">
        <v>3</v>
      </c>
      <c r="V14" s="375">
        <f>+U14/E14*100</f>
        <v>11.111111111111111</v>
      </c>
    </row>
    <row r="15" spans="1:22" ht="15.75" customHeight="1">
      <c r="A15" s="388"/>
      <c r="B15" s="366" t="s">
        <v>819</v>
      </c>
      <c r="C15" s="367">
        <f>SUM(C12:C14)</f>
        <v>455</v>
      </c>
      <c r="D15" s="391">
        <f t="shared" si="0"/>
        <v>100</v>
      </c>
      <c r="E15" s="368">
        <f>SUM(E12:E14)</f>
        <v>450</v>
      </c>
      <c r="F15" s="390">
        <f t="shared" si="0"/>
        <v>100</v>
      </c>
      <c r="G15" s="367">
        <v>124</v>
      </c>
      <c r="H15" s="376">
        <f>+G15/C15*100</f>
        <v>27.252747252747252</v>
      </c>
      <c r="I15" s="368">
        <f>SUM(I12:I14)</f>
        <v>105</v>
      </c>
      <c r="J15" s="376">
        <f>+I15/E15*100</f>
        <v>23.333333333333332</v>
      </c>
      <c r="K15" s="367">
        <v>128</v>
      </c>
      <c r="L15" s="376">
        <f>+K15/C15*100</f>
        <v>28.131868131868131</v>
      </c>
      <c r="M15" s="368">
        <f>SUM(M12:M14)</f>
        <v>156</v>
      </c>
      <c r="N15" s="375">
        <f>+M15/E15*100</f>
        <v>34.666666666666671</v>
      </c>
      <c r="O15" s="367">
        <v>156</v>
      </c>
      <c r="P15" s="376">
        <f>+O15/C15*100</f>
        <v>34.285714285714285</v>
      </c>
      <c r="Q15" s="368">
        <f>SUM(Q12:Q14)</f>
        <v>163</v>
      </c>
      <c r="R15" s="376">
        <f>+Q15/E15*100</f>
        <v>36.222222222222221</v>
      </c>
      <c r="S15" s="367">
        <v>47</v>
      </c>
      <c r="T15" s="376">
        <f>+S15/C15*100</f>
        <v>10.329670329670328</v>
      </c>
      <c r="U15" s="368">
        <f>SUM(U12:U14)</f>
        <v>26</v>
      </c>
      <c r="V15" s="375">
        <f>+U15/E15*100</f>
        <v>5.7777777777777777</v>
      </c>
    </row>
    <row r="16" spans="1:22" ht="15.75" customHeight="1">
      <c r="A16" s="388" t="s">
        <v>682</v>
      </c>
      <c r="B16" s="350" t="s">
        <v>890</v>
      </c>
      <c r="C16" s="367">
        <f>+G16+K16+O16+S16</f>
        <v>120</v>
      </c>
      <c r="D16" s="368">
        <f t="shared" si="0"/>
        <v>100.00000000000001</v>
      </c>
      <c r="E16" s="368">
        <f t="shared" si="0"/>
        <v>109</v>
      </c>
      <c r="F16" s="369">
        <f t="shared" si="0"/>
        <v>100</v>
      </c>
      <c r="G16" s="368">
        <v>31</v>
      </c>
      <c r="H16" s="376">
        <f t="shared" ref="H16:J35" si="1">+G16/C16*100</f>
        <v>25.833333333333336</v>
      </c>
      <c r="I16" s="368">
        <v>30</v>
      </c>
      <c r="J16" s="376">
        <f t="shared" si="1"/>
        <v>27.522935779816514</v>
      </c>
      <c r="K16" s="367">
        <v>48</v>
      </c>
      <c r="L16" s="376">
        <f t="shared" ref="L16:N35" si="2">+K16/C16*100</f>
        <v>40</v>
      </c>
      <c r="M16" s="368">
        <v>41</v>
      </c>
      <c r="N16" s="375">
        <f t="shared" si="2"/>
        <v>37.61467889908257</v>
      </c>
      <c r="O16" s="368">
        <v>31</v>
      </c>
      <c r="P16" s="376">
        <f t="shared" ref="P16:R35" si="3">+O16/C16*100</f>
        <v>25.833333333333336</v>
      </c>
      <c r="Q16" s="368">
        <v>33</v>
      </c>
      <c r="R16" s="376">
        <f t="shared" si="3"/>
        <v>30.275229357798167</v>
      </c>
      <c r="S16" s="367">
        <v>10</v>
      </c>
      <c r="T16" s="376">
        <f t="shared" ref="T16:V35" si="4">+S16/C16*100</f>
        <v>8.3333333333333321</v>
      </c>
      <c r="U16" s="368">
        <v>5</v>
      </c>
      <c r="V16" s="375">
        <f t="shared" si="4"/>
        <v>4.5871559633027523</v>
      </c>
    </row>
    <row r="17" spans="1:22" ht="15.75" customHeight="1">
      <c r="A17" s="388"/>
      <c r="B17" s="303" t="s">
        <v>1342</v>
      </c>
      <c r="C17" s="367">
        <f>+G17+K17+O17+S17</f>
        <v>15</v>
      </c>
      <c r="D17" s="391">
        <f>+H17+L17+P17+T17</f>
        <v>100</v>
      </c>
      <c r="E17" s="368">
        <f t="shared" si="0"/>
        <v>5</v>
      </c>
      <c r="F17" s="369">
        <f t="shared" si="0"/>
        <v>100</v>
      </c>
      <c r="G17" s="368">
        <v>4</v>
      </c>
      <c r="H17" s="376">
        <f t="shared" si="1"/>
        <v>26.666666666666668</v>
      </c>
      <c r="I17" s="368">
        <v>3</v>
      </c>
      <c r="J17" s="376">
        <f t="shared" si="1"/>
        <v>60</v>
      </c>
      <c r="K17" s="367">
        <v>5</v>
      </c>
      <c r="L17" s="376">
        <f t="shared" si="2"/>
        <v>33.333333333333329</v>
      </c>
      <c r="M17" s="368">
        <v>1</v>
      </c>
      <c r="N17" s="375">
        <f t="shared" si="2"/>
        <v>20</v>
      </c>
      <c r="O17" s="368">
        <v>4</v>
      </c>
      <c r="P17" s="376">
        <f t="shared" si="3"/>
        <v>26.666666666666668</v>
      </c>
      <c r="Q17" s="368">
        <v>1</v>
      </c>
      <c r="R17" s="376">
        <f t="shared" si="3"/>
        <v>20</v>
      </c>
      <c r="S17" s="367">
        <v>2</v>
      </c>
      <c r="T17" s="376">
        <f t="shared" si="4"/>
        <v>13.333333333333334</v>
      </c>
      <c r="U17" s="368"/>
      <c r="V17" s="375">
        <f t="shared" si="4"/>
        <v>0</v>
      </c>
    </row>
    <row r="18" spans="1:22" ht="15.75" customHeight="1">
      <c r="A18" s="388" t="s">
        <v>919</v>
      </c>
      <c r="B18" s="350" t="s">
        <v>892</v>
      </c>
      <c r="C18" s="367">
        <f>+G18+K18+O18+S18</f>
        <v>69</v>
      </c>
      <c r="D18" s="368">
        <f t="shared" si="0"/>
        <v>100</v>
      </c>
      <c r="E18" s="368">
        <f t="shared" si="0"/>
        <v>90</v>
      </c>
      <c r="F18" s="369">
        <f t="shared" si="0"/>
        <v>100</v>
      </c>
      <c r="G18" s="368">
        <v>22</v>
      </c>
      <c r="H18" s="376">
        <f t="shared" si="1"/>
        <v>31.884057971014489</v>
      </c>
      <c r="I18" s="368">
        <v>25</v>
      </c>
      <c r="J18" s="376">
        <f t="shared" si="1"/>
        <v>27.777777777777779</v>
      </c>
      <c r="K18" s="367">
        <v>25</v>
      </c>
      <c r="L18" s="376">
        <f t="shared" si="2"/>
        <v>36.231884057971016</v>
      </c>
      <c r="M18" s="368">
        <v>33</v>
      </c>
      <c r="N18" s="375">
        <f t="shared" si="2"/>
        <v>36.666666666666664</v>
      </c>
      <c r="O18" s="368">
        <v>21</v>
      </c>
      <c r="P18" s="376">
        <f t="shared" si="3"/>
        <v>30.434782608695656</v>
      </c>
      <c r="Q18" s="368">
        <v>28</v>
      </c>
      <c r="R18" s="376">
        <f t="shared" si="3"/>
        <v>31.111111111111111</v>
      </c>
      <c r="S18" s="367">
        <v>1</v>
      </c>
      <c r="T18" s="376">
        <f t="shared" si="4"/>
        <v>1.4492753623188406</v>
      </c>
      <c r="U18" s="368">
        <v>4</v>
      </c>
      <c r="V18" s="375">
        <f t="shared" si="4"/>
        <v>4.4444444444444446</v>
      </c>
    </row>
    <row r="19" spans="1:22" ht="15.75" customHeight="1">
      <c r="A19" s="388" t="s">
        <v>683</v>
      </c>
      <c r="B19" s="350" t="s">
        <v>893</v>
      </c>
      <c r="C19" s="367">
        <f>+G19+K19+O19+S19</f>
        <v>86</v>
      </c>
      <c r="D19" s="368">
        <f t="shared" si="0"/>
        <v>100</v>
      </c>
      <c r="E19" s="368">
        <f t="shared" si="0"/>
        <v>69</v>
      </c>
      <c r="F19" s="369">
        <f t="shared" si="0"/>
        <v>100</v>
      </c>
      <c r="G19" s="368">
        <v>23</v>
      </c>
      <c r="H19" s="376">
        <f t="shared" si="1"/>
        <v>26.744186046511626</v>
      </c>
      <c r="I19" s="368">
        <v>18</v>
      </c>
      <c r="J19" s="376">
        <f t="shared" si="1"/>
        <v>26.086956521739129</v>
      </c>
      <c r="K19" s="367">
        <v>22</v>
      </c>
      <c r="L19" s="376">
        <f t="shared" si="2"/>
        <v>25.581395348837212</v>
      </c>
      <c r="M19" s="368">
        <v>23</v>
      </c>
      <c r="N19" s="375">
        <f t="shared" si="2"/>
        <v>33.333333333333329</v>
      </c>
      <c r="O19" s="368">
        <v>33</v>
      </c>
      <c r="P19" s="376">
        <f t="shared" si="3"/>
        <v>38.372093023255815</v>
      </c>
      <c r="Q19" s="368">
        <v>26</v>
      </c>
      <c r="R19" s="376">
        <f t="shared" si="3"/>
        <v>37.681159420289859</v>
      </c>
      <c r="S19" s="367">
        <v>8</v>
      </c>
      <c r="T19" s="376">
        <f t="shared" si="4"/>
        <v>9.3023255813953494</v>
      </c>
      <c r="U19" s="368">
        <v>2</v>
      </c>
      <c r="V19" s="375">
        <f t="shared" si="4"/>
        <v>2.8985507246376812</v>
      </c>
    </row>
    <row r="20" spans="1:22" ht="15.75" customHeight="1">
      <c r="A20" s="388" t="s">
        <v>894</v>
      </c>
      <c r="B20" s="366" t="s">
        <v>894</v>
      </c>
      <c r="C20" s="367">
        <f>SUM(C15:C19)</f>
        <v>745</v>
      </c>
      <c r="D20" s="368">
        <f t="shared" si="0"/>
        <v>100</v>
      </c>
      <c r="E20" s="368">
        <f>SUM(E15:E19)</f>
        <v>723</v>
      </c>
      <c r="F20" s="369">
        <f t="shared" si="0"/>
        <v>100</v>
      </c>
      <c r="G20" s="367">
        <v>204</v>
      </c>
      <c r="H20" s="376">
        <f t="shared" si="1"/>
        <v>27.382550335570471</v>
      </c>
      <c r="I20" s="368">
        <f>SUM(I15:I19)</f>
        <v>181</v>
      </c>
      <c r="J20" s="376">
        <f t="shared" si="1"/>
        <v>25.034578146611342</v>
      </c>
      <c r="K20" s="367">
        <v>228</v>
      </c>
      <c r="L20" s="376">
        <f t="shared" si="2"/>
        <v>30.604026845637584</v>
      </c>
      <c r="M20" s="368">
        <f>SUM(M15:M19)</f>
        <v>254</v>
      </c>
      <c r="N20" s="375">
        <f t="shared" si="2"/>
        <v>35.131396957123094</v>
      </c>
      <c r="O20" s="367">
        <v>245</v>
      </c>
      <c r="P20" s="376">
        <f t="shared" si="3"/>
        <v>32.885906040268459</v>
      </c>
      <c r="Q20" s="368">
        <f>SUM(Q15:Q19)</f>
        <v>251</v>
      </c>
      <c r="R20" s="376">
        <f t="shared" si="3"/>
        <v>34.716459197786996</v>
      </c>
      <c r="S20" s="367">
        <v>68</v>
      </c>
      <c r="T20" s="376">
        <f t="shared" si="4"/>
        <v>9.1275167785234892</v>
      </c>
      <c r="U20" s="368">
        <f>SUM(U15:U19)</f>
        <v>37</v>
      </c>
      <c r="V20" s="375">
        <f t="shared" si="4"/>
        <v>5.1175656984785611</v>
      </c>
    </row>
    <row r="21" spans="1:22" ht="15.75" customHeight="1">
      <c r="A21" s="388"/>
      <c r="B21" s="366"/>
      <c r="C21" s="367"/>
      <c r="D21" s="368"/>
      <c r="E21" s="368"/>
      <c r="F21" s="369"/>
      <c r="G21" s="368"/>
      <c r="H21" s="376"/>
      <c r="I21" s="368"/>
      <c r="J21" s="376"/>
      <c r="K21" s="367"/>
      <c r="L21" s="376"/>
      <c r="M21" s="368"/>
      <c r="N21" s="375"/>
      <c r="O21" s="368"/>
      <c r="P21" s="376"/>
      <c r="Q21" s="368"/>
      <c r="R21" s="376"/>
      <c r="S21" s="367"/>
      <c r="T21" s="376"/>
      <c r="U21" s="368"/>
      <c r="V21" s="375"/>
    </row>
    <row r="22" spans="1:22" ht="15.75" customHeight="1">
      <c r="A22" s="388" t="s">
        <v>920</v>
      </c>
      <c r="B22" s="350" t="s">
        <v>895</v>
      </c>
      <c r="C22" s="367">
        <f t="shared" ref="C22:C32" si="5">+G22+K22+O22+S22</f>
        <v>193</v>
      </c>
      <c r="D22" s="368">
        <f t="shared" ref="C22:F35" si="6">+H22+L22+P22+T22</f>
        <v>100</v>
      </c>
      <c r="E22" s="368">
        <f t="shared" si="6"/>
        <v>206</v>
      </c>
      <c r="F22" s="369">
        <f t="shared" si="6"/>
        <v>99.999999999999986</v>
      </c>
      <c r="G22" s="368">
        <v>52</v>
      </c>
      <c r="H22" s="376">
        <f t="shared" si="1"/>
        <v>26.94300518134715</v>
      </c>
      <c r="I22" s="368">
        <v>61</v>
      </c>
      <c r="J22" s="376">
        <f t="shared" si="1"/>
        <v>29.61165048543689</v>
      </c>
      <c r="K22" s="367">
        <v>59</v>
      </c>
      <c r="L22" s="376">
        <f t="shared" si="2"/>
        <v>30.569948186528496</v>
      </c>
      <c r="M22" s="368">
        <v>56</v>
      </c>
      <c r="N22" s="375">
        <f t="shared" si="2"/>
        <v>27.184466019417474</v>
      </c>
      <c r="O22" s="368">
        <v>61</v>
      </c>
      <c r="P22" s="376">
        <f t="shared" si="3"/>
        <v>31.606217616580313</v>
      </c>
      <c r="Q22" s="368">
        <v>71</v>
      </c>
      <c r="R22" s="376">
        <f t="shared" si="3"/>
        <v>34.466019417475728</v>
      </c>
      <c r="S22" s="367">
        <v>21</v>
      </c>
      <c r="T22" s="376">
        <f t="shared" si="4"/>
        <v>10.880829015544041</v>
      </c>
      <c r="U22" s="368">
        <v>18</v>
      </c>
      <c r="V22" s="375">
        <f t="shared" si="4"/>
        <v>8.7378640776699026</v>
      </c>
    </row>
    <row r="23" spans="1:22" ht="15.75" customHeight="1">
      <c r="A23" s="388"/>
      <c r="B23" s="350" t="s">
        <v>896</v>
      </c>
      <c r="C23" s="367">
        <f t="shared" si="6"/>
        <v>269</v>
      </c>
      <c r="D23" s="368">
        <f t="shared" si="6"/>
        <v>100</v>
      </c>
      <c r="E23" s="368">
        <f t="shared" si="6"/>
        <v>310</v>
      </c>
      <c r="F23" s="369">
        <f t="shared" si="6"/>
        <v>100.00000000000001</v>
      </c>
      <c r="G23" s="368">
        <v>67</v>
      </c>
      <c r="H23" s="376">
        <f t="shared" si="1"/>
        <v>24.907063197026023</v>
      </c>
      <c r="I23" s="368">
        <v>90</v>
      </c>
      <c r="J23" s="376">
        <f t="shared" si="1"/>
        <v>29.032258064516132</v>
      </c>
      <c r="K23" s="367">
        <v>89</v>
      </c>
      <c r="L23" s="376">
        <f t="shared" si="2"/>
        <v>33.085501858736059</v>
      </c>
      <c r="M23" s="368">
        <v>95</v>
      </c>
      <c r="N23" s="375">
        <f t="shared" si="2"/>
        <v>30.64516129032258</v>
      </c>
      <c r="O23" s="368">
        <v>103</v>
      </c>
      <c r="P23" s="376">
        <f t="shared" si="3"/>
        <v>38.289962825278813</v>
      </c>
      <c r="Q23" s="368">
        <v>104</v>
      </c>
      <c r="R23" s="376">
        <f t="shared" si="3"/>
        <v>33.548387096774199</v>
      </c>
      <c r="S23" s="367">
        <v>10</v>
      </c>
      <c r="T23" s="376">
        <f t="shared" si="4"/>
        <v>3.7174721189591078</v>
      </c>
      <c r="U23" s="368">
        <v>21</v>
      </c>
      <c r="V23" s="375">
        <f t="shared" si="4"/>
        <v>6.7741935483870979</v>
      </c>
    </row>
    <row r="24" spans="1:22" ht="15.75" customHeight="1">
      <c r="A24" s="388"/>
      <c r="B24" s="350" t="s">
        <v>992</v>
      </c>
      <c r="C24" s="367">
        <f>+G24+K24+O24+S24</f>
        <v>25</v>
      </c>
      <c r="D24" s="368">
        <f>+H24+L24+P24+T24</f>
        <v>100</v>
      </c>
      <c r="E24" s="368">
        <f>+I24+M24+Q24+U24</f>
        <v>17</v>
      </c>
      <c r="F24" s="369">
        <f>+J24+N24+R24+V24</f>
        <v>99.999999999999986</v>
      </c>
      <c r="G24" s="368">
        <v>4</v>
      </c>
      <c r="H24" s="376">
        <f t="shared" si="1"/>
        <v>16</v>
      </c>
      <c r="I24" s="368">
        <v>2</v>
      </c>
      <c r="J24" s="376">
        <f t="shared" si="1"/>
        <v>11.76470588235294</v>
      </c>
      <c r="K24" s="367">
        <v>15</v>
      </c>
      <c r="L24" s="376">
        <f t="shared" si="2"/>
        <v>60</v>
      </c>
      <c r="M24" s="368">
        <v>7</v>
      </c>
      <c r="N24" s="375">
        <f t="shared" si="2"/>
        <v>41.17647058823529</v>
      </c>
      <c r="O24" s="368">
        <v>4</v>
      </c>
      <c r="P24" s="376">
        <f t="shared" si="3"/>
        <v>16</v>
      </c>
      <c r="Q24" s="368">
        <v>7</v>
      </c>
      <c r="R24" s="376">
        <f t="shared" si="3"/>
        <v>41.17647058823529</v>
      </c>
      <c r="S24" s="367">
        <v>2</v>
      </c>
      <c r="T24" s="376">
        <f t="shared" si="4"/>
        <v>8</v>
      </c>
      <c r="U24" s="368">
        <v>1</v>
      </c>
      <c r="V24" s="375">
        <f t="shared" si="4"/>
        <v>5.8823529411764701</v>
      </c>
    </row>
    <row r="25" spans="1:22" ht="15.75" customHeight="1">
      <c r="A25" s="388"/>
      <c r="B25" s="350" t="s">
        <v>897</v>
      </c>
      <c r="C25" s="367">
        <f t="shared" si="5"/>
        <v>56</v>
      </c>
      <c r="D25" s="368">
        <f t="shared" si="6"/>
        <v>100</v>
      </c>
      <c r="E25" s="368">
        <f t="shared" si="6"/>
        <v>37</v>
      </c>
      <c r="F25" s="390">
        <f t="shared" si="6"/>
        <v>100</v>
      </c>
      <c r="G25" s="367">
        <v>24</v>
      </c>
      <c r="H25" s="376">
        <f t="shared" si="1"/>
        <v>42.857142857142854</v>
      </c>
      <c r="I25" s="368">
        <v>2</v>
      </c>
      <c r="J25" s="376">
        <f t="shared" si="1"/>
        <v>5.4054054054054053</v>
      </c>
      <c r="K25" s="367">
        <v>11</v>
      </c>
      <c r="L25" s="376">
        <f t="shared" si="2"/>
        <v>19.642857142857142</v>
      </c>
      <c r="M25" s="368">
        <v>14</v>
      </c>
      <c r="N25" s="375">
        <f t="shared" si="2"/>
        <v>37.837837837837839</v>
      </c>
      <c r="O25" s="367">
        <v>17</v>
      </c>
      <c r="P25" s="376">
        <f t="shared" si="3"/>
        <v>30.357142857142854</v>
      </c>
      <c r="Q25" s="368">
        <v>12</v>
      </c>
      <c r="R25" s="376">
        <f t="shared" si="3"/>
        <v>32.432432432432435</v>
      </c>
      <c r="S25" s="367">
        <v>4</v>
      </c>
      <c r="T25" s="376">
        <f t="shared" si="4"/>
        <v>7.1428571428571423</v>
      </c>
      <c r="U25" s="368">
        <v>9</v>
      </c>
      <c r="V25" s="375">
        <f t="shared" si="4"/>
        <v>24.324324324324326</v>
      </c>
    </row>
    <row r="26" spans="1:22" ht="15.75" customHeight="1">
      <c r="A26" s="388"/>
      <c r="B26" s="366" t="s">
        <v>819</v>
      </c>
      <c r="C26" s="367">
        <f>SUM(C22:C25)</f>
        <v>543</v>
      </c>
      <c r="D26" s="391">
        <f t="shared" si="6"/>
        <v>100</v>
      </c>
      <c r="E26" s="368">
        <f>SUM(E22:E25)</f>
        <v>570</v>
      </c>
      <c r="F26" s="390">
        <f t="shared" si="6"/>
        <v>100</v>
      </c>
      <c r="G26" s="367">
        <v>147</v>
      </c>
      <c r="H26" s="376">
        <f t="shared" si="1"/>
        <v>27.071823204419886</v>
      </c>
      <c r="I26" s="368">
        <f>SUM(I22:I25)</f>
        <v>155</v>
      </c>
      <c r="J26" s="376">
        <f t="shared" si="1"/>
        <v>27.192982456140353</v>
      </c>
      <c r="K26" s="367">
        <v>174</v>
      </c>
      <c r="L26" s="376">
        <f t="shared" si="2"/>
        <v>32.044198895027627</v>
      </c>
      <c r="M26" s="368">
        <f>SUM(M22:M25)</f>
        <v>172</v>
      </c>
      <c r="N26" s="375">
        <f t="shared" si="2"/>
        <v>30.175438596491226</v>
      </c>
      <c r="O26" s="367">
        <v>185</v>
      </c>
      <c r="P26" s="376">
        <f t="shared" si="3"/>
        <v>34.069981583793741</v>
      </c>
      <c r="Q26" s="368">
        <f>SUM(Q22:Q25)</f>
        <v>194</v>
      </c>
      <c r="R26" s="376">
        <f t="shared" si="3"/>
        <v>34.035087719298247</v>
      </c>
      <c r="S26" s="367">
        <v>37</v>
      </c>
      <c r="T26" s="376">
        <f t="shared" si="4"/>
        <v>6.8139963167587485</v>
      </c>
      <c r="U26" s="368">
        <f>SUM(U22:U25)</f>
        <v>49</v>
      </c>
      <c r="V26" s="375">
        <f t="shared" si="4"/>
        <v>8.5964912280701764</v>
      </c>
    </row>
    <row r="27" spans="1:22" ht="15.75" customHeight="1">
      <c r="A27" s="388" t="s">
        <v>685</v>
      </c>
      <c r="B27" s="350" t="s">
        <v>898</v>
      </c>
      <c r="C27" s="367">
        <f t="shared" si="5"/>
        <v>88</v>
      </c>
      <c r="D27" s="368">
        <f t="shared" si="6"/>
        <v>100</v>
      </c>
      <c r="E27" s="368">
        <f t="shared" si="6"/>
        <v>100</v>
      </c>
      <c r="F27" s="369">
        <f t="shared" si="6"/>
        <v>100</v>
      </c>
      <c r="G27" s="368">
        <v>27</v>
      </c>
      <c r="H27" s="376">
        <f t="shared" si="1"/>
        <v>30.681818181818183</v>
      </c>
      <c r="I27" s="368">
        <v>35</v>
      </c>
      <c r="J27" s="376">
        <f t="shared" si="1"/>
        <v>35</v>
      </c>
      <c r="K27" s="367">
        <v>25</v>
      </c>
      <c r="L27" s="376">
        <f t="shared" si="2"/>
        <v>28.40909090909091</v>
      </c>
      <c r="M27" s="368">
        <v>31</v>
      </c>
      <c r="N27" s="375">
        <f t="shared" si="2"/>
        <v>31</v>
      </c>
      <c r="O27" s="368">
        <v>30</v>
      </c>
      <c r="P27" s="376">
        <f t="shared" si="3"/>
        <v>34.090909090909086</v>
      </c>
      <c r="Q27" s="368">
        <v>24</v>
      </c>
      <c r="R27" s="376">
        <f t="shared" si="3"/>
        <v>24</v>
      </c>
      <c r="S27" s="367">
        <v>6</v>
      </c>
      <c r="T27" s="376">
        <f t="shared" si="4"/>
        <v>6.8181818181818175</v>
      </c>
      <c r="U27" s="368">
        <v>10</v>
      </c>
      <c r="V27" s="375">
        <f t="shared" si="4"/>
        <v>10</v>
      </c>
    </row>
    <row r="28" spans="1:22" ht="15.75" customHeight="1">
      <c r="A28" s="388" t="s">
        <v>921</v>
      </c>
      <c r="B28" s="350" t="s">
        <v>899</v>
      </c>
      <c r="C28" s="367">
        <f t="shared" si="5"/>
        <v>90</v>
      </c>
      <c r="D28" s="368">
        <f t="shared" si="6"/>
        <v>100</v>
      </c>
      <c r="E28" s="368">
        <f t="shared" si="6"/>
        <v>97</v>
      </c>
      <c r="F28" s="369">
        <f t="shared" si="6"/>
        <v>100</v>
      </c>
      <c r="G28" s="368">
        <v>31</v>
      </c>
      <c r="H28" s="376">
        <f t="shared" si="1"/>
        <v>34.444444444444443</v>
      </c>
      <c r="I28" s="368">
        <v>35</v>
      </c>
      <c r="J28" s="376">
        <f t="shared" si="1"/>
        <v>36.082474226804123</v>
      </c>
      <c r="K28" s="367">
        <v>27</v>
      </c>
      <c r="L28" s="376">
        <f t="shared" si="2"/>
        <v>30</v>
      </c>
      <c r="M28" s="368">
        <v>35</v>
      </c>
      <c r="N28" s="375">
        <f t="shared" si="2"/>
        <v>36.082474226804123</v>
      </c>
      <c r="O28" s="368">
        <v>26</v>
      </c>
      <c r="P28" s="376">
        <f t="shared" si="3"/>
        <v>28.888888888888886</v>
      </c>
      <c r="Q28" s="368">
        <v>22</v>
      </c>
      <c r="R28" s="376">
        <f t="shared" si="3"/>
        <v>22.680412371134022</v>
      </c>
      <c r="S28" s="367">
        <v>6</v>
      </c>
      <c r="T28" s="376">
        <f t="shared" si="4"/>
        <v>6.666666666666667</v>
      </c>
      <c r="U28" s="368">
        <v>5</v>
      </c>
      <c r="V28" s="375">
        <f t="shared" si="4"/>
        <v>5.1546391752577314</v>
      </c>
    </row>
    <row r="29" spans="1:22" ht="15.75" customHeight="1">
      <c r="A29" s="388"/>
      <c r="B29" s="350" t="s">
        <v>900</v>
      </c>
      <c r="C29" s="367">
        <f t="shared" si="6"/>
        <v>11</v>
      </c>
      <c r="D29" s="368">
        <f t="shared" si="6"/>
        <v>100</v>
      </c>
      <c r="E29" s="368">
        <f t="shared" si="6"/>
        <v>15</v>
      </c>
      <c r="F29" s="369">
        <f t="shared" si="6"/>
        <v>100</v>
      </c>
      <c r="G29" s="368">
        <v>4</v>
      </c>
      <c r="H29" s="376">
        <f t="shared" si="1"/>
        <v>36.363636363636367</v>
      </c>
      <c r="I29" s="368">
        <v>4</v>
      </c>
      <c r="J29" s="376">
        <f t="shared" si="1"/>
        <v>26.666666666666668</v>
      </c>
      <c r="K29" s="367">
        <v>3</v>
      </c>
      <c r="L29" s="376">
        <f t="shared" si="2"/>
        <v>27.27272727272727</v>
      </c>
      <c r="M29" s="368">
        <v>3</v>
      </c>
      <c r="N29" s="375">
        <f t="shared" si="2"/>
        <v>20</v>
      </c>
      <c r="O29" s="368">
        <v>3</v>
      </c>
      <c r="P29" s="376">
        <f t="shared" si="3"/>
        <v>27.27272727272727</v>
      </c>
      <c r="Q29" s="368">
        <v>6</v>
      </c>
      <c r="R29" s="376">
        <f t="shared" si="3"/>
        <v>40</v>
      </c>
      <c r="S29" s="367">
        <v>1</v>
      </c>
      <c r="T29" s="376">
        <f t="shared" si="4"/>
        <v>9.0909090909090917</v>
      </c>
      <c r="U29" s="368">
        <v>2</v>
      </c>
      <c r="V29" s="375">
        <f t="shared" si="4"/>
        <v>13.333333333333334</v>
      </c>
    </row>
    <row r="30" spans="1:22" ht="15.75" customHeight="1">
      <c r="A30" s="388" t="s">
        <v>687</v>
      </c>
      <c r="B30" s="350" t="s">
        <v>901</v>
      </c>
      <c r="C30" s="367">
        <f t="shared" si="5"/>
        <v>54</v>
      </c>
      <c r="D30" s="368">
        <f t="shared" si="6"/>
        <v>100.00000000000001</v>
      </c>
      <c r="E30" s="368">
        <f t="shared" si="6"/>
        <v>64</v>
      </c>
      <c r="F30" s="369">
        <f t="shared" si="6"/>
        <v>100</v>
      </c>
      <c r="G30" s="368">
        <v>18</v>
      </c>
      <c r="H30" s="376">
        <f t="shared" si="1"/>
        <v>33.333333333333329</v>
      </c>
      <c r="I30" s="368">
        <v>22</v>
      </c>
      <c r="J30" s="376">
        <f t="shared" si="1"/>
        <v>34.375</v>
      </c>
      <c r="K30" s="367">
        <v>21</v>
      </c>
      <c r="L30" s="376">
        <f t="shared" si="2"/>
        <v>38.888888888888893</v>
      </c>
      <c r="M30" s="368">
        <v>21</v>
      </c>
      <c r="N30" s="375">
        <f t="shared" si="2"/>
        <v>32.8125</v>
      </c>
      <c r="O30" s="368">
        <v>12</v>
      </c>
      <c r="P30" s="376">
        <f t="shared" si="3"/>
        <v>22.222222222222221</v>
      </c>
      <c r="Q30" s="368">
        <v>19</v>
      </c>
      <c r="R30" s="376">
        <f t="shared" si="3"/>
        <v>29.6875</v>
      </c>
      <c r="S30" s="367">
        <v>3</v>
      </c>
      <c r="T30" s="376">
        <f t="shared" si="4"/>
        <v>5.5555555555555554</v>
      </c>
      <c r="U30" s="368">
        <v>2</v>
      </c>
      <c r="V30" s="375">
        <f t="shared" si="4"/>
        <v>3.125</v>
      </c>
    </row>
    <row r="31" spans="1:22" ht="15.75" customHeight="1">
      <c r="A31" s="388" t="s">
        <v>922</v>
      </c>
      <c r="B31" s="350" t="s">
        <v>902</v>
      </c>
      <c r="C31" s="367">
        <f t="shared" si="5"/>
        <v>226</v>
      </c>
      <c r="D31" s="368">
        <f t="shared" si="6"/>
        <v>100</v>
      </c>
      <c r="E31" s="368">
        <f t="shared" si="6"/>
        <v>169</v>
      </c>
      <c r="F31" s="369">
        <f t="shared" si="6"/>
        <v>100</v>
      </c>
      <c r="G31" s="368">
        <v>72</v>
      </c>
      <c r="H31" s="376">
        <f t="shared" si="1"/>
        <v>31.858407079646017</v>
      </c>
      <c r="I31" s="368">
        <v>50</v>
      </c>
      <c r="J31" s="376">
        <f t="shared" si="1"/>
        <v>29.585798816568047</v>
      </c>
      <c r="K31" s="367">
        <v>70</v>
      </c>
      <c r="L31" s="376">
        <f t="shared" si="2"/>
        <v>30.973451327433626</v>
      </c>
      <c r="M31" s="368">
        <v>62</v>
      </c>
      <c r="N31" s="375">
        <f t="shared" si="2"/>
        <v>36.68639053254438</v>
      </c>
      <c r="O31" s="368">
        <v>60</v>
      </c>
      <c r="P31" s="376">
        <f t="shared" si="3"/>
        <v>26.548672566371685</v>
      </c>
      <c r="Q31" s="368">
        <v>53</v>
      </c>
      <c r="R31" s="376">
        <f t="shared" si="3"/>
        <v>31.360946745562128</v>
      </c>
      <c r="S31" s="367">
        <v>24</v>
      </c>
      <c r="T31" s="376">
        <f t="shared" si="4"/>
        <v>10.619469026548673</v>
      </c>
      <c r="U31" s="368">
        <v>4</v>
      </c>
      <c r="V31" s="375">
        <f t="shared" si="4"/>
        <v>2.3668639053254439</v>
      </c>
    </row>
    <row r="32" spans="1:22" ht="15.75" customHeight="1">
      <c r="A32" s="388" t="s">
        <v>689</v>
      </c>
      <c r="B32" s="350" t="s">
        <v>903</v>
      </c>
      <c r="C32" s="367">
        <f t="shared" si="5"/>
        <v>88</v>
      </c>
      <c r="D32" s="368">
        <f t="shared" si="6"/>
        <v>100.00000000000001</v>
      </c>
      <c r="E32" s="368">
        <f t="shared" si="6"/>
        <v>86</v>
      </c>
      <c r="F32" s="369">
        <f t="shared" si="6"/>
        <v>100</v>
      </c>
      <c r="G32" s="368">
        <v>21</v>
      </c>
      <c r="H32" s="376">
        <f t="shared" si="1"/>
        <v>23.863636363636363</v>
      </c>
      <c r="I32" s="368">
        <v>25</v>
      </c>
      <c r="J32" s="376">
        <f t="shared" si="1"/>
        <v>29.069767441860467</v>
      </c>
      <c r="K32" s="367">
        <v>36</v>
      </c>
      <c r="L32" s="376">
        <f t="shared" si="2"/>
        <v>40.909090909090914</v>
      </c>
      <c r="M32" s="368">
        <v>26</v>
      </c>
      <c r="N32" s="375">
        <f t="shared" si="2"/>
        <v>30.232558139534881</v>
      </c>
      <c r="O32" s="368">
        <v>30</v>
      </c>
      <c r="P32" s="376">
        <f t="shared" si="3"/>
        <v>34.090909090909086</v>
      </c>
      <c r="Q32" s="368">
        <v>31</v>
      </c>
      <c r="R32" s="376">
        <f t="shared" si="3"/>
        <v>36.046511627906973</v>
      </c>
      <c r="S32" s="367">
        <v>1</v>
      </c>
      <c r="T32" s="376">
        <f t="shared" si="4"/>
        <v>1.1363636363636365</v>
      </c>
      <c r="U32" s="368">
        <v>4</v>
      </c>
      <c r="V32" s="375">
        <f t="shared" si="4"/>
        <v>4.6511627906976747</v>
      </c>
    </row>
    <row r="33" spans="1:22" ht="15.75" customHeight="1">
      <c r="A33" s="388"/>
      <c r="B33" s="303" t="s">
        <v>1343</v>
      </c>
      <c r="C33" s="367">
        <f>+G33+K33+O33+S33</f>
        <v>14</v>
      </c>
      <c r="D33" s="368">
        <f>+H33+L33+P33+T33</f>
        <v>100</v>
      </c>
      <c r="E33" s="368">
        <f t="shared" si="6"/>
        <v>17</v>
      </c>
      <c r="F33" s="369">
        <f t="shared" si="6"/>
        <v>100.00000000000001</v>
      </c>
      <c r="G33" s="368">
        <v>2</v>
      </c>
      <c r="H33" s="376">
        <f t="shared" si="1"/>
        <v>14.285714285714285</v>
      </c>
      <c r="I33" s="368">
        <v>7</v>
      </c>
      <c r="J33" s="376">
        <f t="shared" si="1"/>
        <v>41.17647058823529</v>
      </c>
      <c r="K33" s="367">
        <v>6</v>
      </c>
      <c r="L33" s="376">
        <f t="shared" si="2"/>
        <v>42.857142857142854</v>
      </c>
      <c r="M33" s="368">
        <v>5</v>
      </c>
      <c r="N33" s="375">
        <f t="shared" si="2"/>
        <v>29.411764705882355</v>
      </c>
      <c r="O33" s="368">
        <v>6</v>
      </c>
      <c r="P33" s="376">
        <f t="shared" si="3"/>
        <v>42.857142857142854</v>
      </c>
      <c r="Q33" s="368">
        <v>3</v>
      </c>
      <c r="R33" s="376">
        <f t="shared" si="3"/>
        <v>17.647058823529413</v>
      </c>
      <c r="S33" s="367">
        <v>0</v>
      </c>
      <c r="T33" s="376">
        <f t="shared" si="4"/>
        <v>0</v>
      </c>
      <c r="U33" s="368">
        <v>2</v>
      </c>
      <c r="V33" s="375">
        <f t="shared" si="4"/>
        <v>11.76470588235294</v>
      </c>
    </row>
    <row r="34" spans="1:22" ht="15.75" customHeight="1">
      <c r="A34" s="388" t="s">
        <v>894</v>
      </c>
      <c r="B34" s="366" t="s">
        <v>894</v>
      </c>
      <c r="C34" s="367">
        <f>SUM(C26:C33)</f>
        <v>1114</v>
      </c>
      <c r="D34" s="368">
        <f t="shared" si="6"/>
        <v>100</v>
      </c>
      <c r="E34" s="378">
        <f>SUM(E26:E33)</f>
        <v>1118</v>
      </c>
      <c r="F34" s="369">
        <f t="shared" si="6"/>
        <v>100.00000000000001</v>
      </c>
      <c r="G34" s="378">
        <f>SUM(G26:G33)</f>
        <v>322</v>
      </c>
      <c r="H34" s="376">
        <f t="shared" si="1"/>
        <v>28.904847396768403</v>
      </c>
      <c r="I34" s="378">
        <f>SUM(I26:I33)</f>
        <v>333</v>
      </c>
      <c r="J34" s="375">
        <f t="shared" si="1"/>
        <v>29.785330948121647</v>
      </c>
      <c r="K34" s="378">
        <f>SUM(K26:K33)</f>
        <v>362</v>
      </c>
      <c r="L34" s="376">
        <f t="shared" si="2"/>
        <v>32.495511669658889</v>
      </c>
      <c r="M34" s="378">
        <f>SUM(M26:M33)</f>
        <v>355</v>
      </c>
      <c r="N34" s="375">
        <f t="shared" si="2"/>
        <v>31.753130590339897</v>
      </c>
      <c r="O34" s="378">
        <f>SUM(O26:O33)</f>
        <v>352</v>
      </c>
      <c r="P34" s="376">
        <f t="shared" si="3"/>
        <v>31.597845601436266</v>
      </c>
      <c r="Q34" s="378">
        <f>SUM(Q26:Q33)</f>
        <v>352</v>
      </c>
      <c r="R34" s="375">
        <f t="shared" si="3"/>
        <v>31.48479427549195</v>
      </c>
      <c r="S34" s="378">
        <f>SUM(S26:S33)</f>
        <v>78</v>
      </c>
      <c r="T34" s="376">
        <f t="shared" si="4"/>
        <v>7.0017953321364459</v>
      </c>
      <c r="U34" s="378">
        <f>SUM(U26:U33)</f>
        <v>78</v>
      </c>
      <c r="V34" s="375">
        <f t="shared" si="4"/>
        <v>6.9767441860465116</v>
      </c>
    </row>
    <row r="35" spans="1:22" ht="15.75" customHeight="1">
      <c r="A35" s="389" t="s">
        <v>923</v>
      </c>
      <c r="B35" s="389"/>
      <c r="C35" s="381">
        <f>+C34+C20</f>
        <v>1859</v>
      </c>
      <c r="D35" s="373">
        <f t="shared" si="6"/>
        <v>100</v>
      </c>
      <c r="E35" s="382">
        <f>+E34+E20</f>
        <v>1841</v>
      </c>
      <c r="F35" s="374">
        <f t="shared" si="6"/>
        <v>99.999999999999986</v>
      </c>
      <c r="G35" s="373">
        <f>+G34+G20</f>
        <v>526</v>
      </c>
      <c r="H35" s="380">
        <f t="shared" si="1"/>
        <v>28.294782140935986</v>
      </c>
      <c r="I35" s="373">
        <f>+I34+I20</f>
        <v>514</v>
      </c>
      <c r="J35" s="380">
        <f t="shared" si="1"/>
        <v>27.919608908202065</v>
      </c>
      <c r="K35" s="372">
        <f>+K34+K20</f>
        <v>590</v>
      </c>
      <c r="L35" s="380">
        <f t="shared" si="2"/>
        <v>31.737493275954815</v>
      </c>
      <c r="M35" s="373">
        <f>+M34+M20</f>
        <v>609</v>
      </c>
      <c r="N35" s="379">
        <f t="shared" si="2"/>
        <v>33.079847908745244</v>
      </c>
      <c r="O35" s="373">
        <f>+O34+O20</f>
        <v>597</v>
      </c>
      <c r="P35" s="380">
        <f t="shared" si="3"/>
        <v>32.114039806347499</v>
      </c>
      <c r="Q35" s="373">
        <f>+Q34+Q20</f>
        <v>603</v>
      </c>
      <c r="R35" s="380">
        <f t="shared" si="3"/>
        <v>32.753938077131991</v>
      </c>
      <c r="S35" s="372">
        <f>+S34+S20</f>
        <v>146</v>
      </c>
      <c r="T35" s="380">
        <f t="shared" si="4"/>
        <v>7.8536847767617006</v>
      </c>
      <c r="U35" s="373">
        <f>+U34+U20</f>
        <v>115</v>
      </c>
      <c r="V35" s="379">
        <f t="shared" si="4"/>
        <v>6.2466051059206951</v>
      </c>
    </row>
  </sheetData>
  <mergeCells count="7">
    <mergeCell ref="A1:V1"/>
    <mergeCell ref="A3:V3"/>
    <mergeCell ref="C9:F9"/>
    <mergeCell ref="G9:J9"/>
    <mergeCell ref="K9:N9"/>
    <mergeCell ref="O9:R9"/>
    <mergeCell ref="S9:V9"/>
  </mergeCells>
  <phoneticPr fontId="19" type="noConversion"/>
  <pageMargins left="0.59055118110236227" right="0.39370078740157483" top="0.98425196850393704" bottom="0.98425196850393704" header="0" footer="0"/>
  <pageSetup paperSize="5" scale="90" orientation="landscape" horizontalDpi="300" verticalDpi="300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47"/>
  <sheetViews>
    <sheetView topLeftCell="A15" workbookViewId="0">
      <selection activeCell="M46" sqref="M46"/>
    </sheetView>
  </sheetViews>
  <sheetFormatPr baseColWidth="10" defaultRowHeight="12.75"/>
  <cols>
    <col min="1" max="1" width="10.85546875" customWidth="1"/>
    <col min="2" max="2" width="9" customWidth="1"/>
    <col min="3" max="11" width="7.85546875" customWidth="1"/>
    <col min="12" max="12" width="6.85546875" customWidth="1"/>
  </cols>
  <sheetData>
    <row r="1" spans="1:12">
      <c r="A1" s="1211" t="s">
        <v>924</v>
      </c>
      <c r="B1" s="1211"/>
      <c r="C1" s="1211"/>
      <c r="D1" s="1211"/>
      <c r="E1" s="1211"/>
      <c r="F1" s="1211"/>
      <c r="G1" s="1211"/>
      <c r="H1" s="1211"/>
      <c r="I1" s="1211"/>
      <c r="J1" s="1211"/>
      <c r="K1" s="1211"/>
      <c r="L1" s="1211"/>
    </row>
    <row r="2" spans="1:12">
      <c r="A2" s="1211" t="s">
        <v>925</v>
      </c>
      <c r="B2" s="1211"/>
      <c r="C2" s="1211"/>
      <c r="D2" s="1211"/>
      <c r="E2" s="1211"/>
      <c r="F2" s="1211"/>
      <c r="G2" s="1211"/>
      <c r="H2" s="1211"/>
      <c r="I2" s="1211"/>
      <c r="J2" s="1211"/>
      <c r="K2" s="1211"/>
      <c r="L2" s="1211"/>
    </row>
    <row r="3" spans="1:12">
      <c r="A3" s="1211" t="s">
        <v>1465</v>
      </c>
      <c r="B3" s="1211"/>
      <c r="C3" s="1211"/>
      <c r="D3" s="1211"/>
      <c r="E3" s="1211"/>
      <c r="F3" s="1211"/>
      <c r="G3" s="1211"/>
      <c r="H3" s="1211"/>
      <c r="I3" s="1211"/>
      <c r="J3" s="1211"/>
      <c r="K3" s="1211"/>
      <c r="L3" s="1211"/>
    </row>
    <row r="4" spans="1:1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312"/>
    </row>
    <row r="5" spans="1:1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312"/>
    </row>
    <row r="8" spans="1:12">
      <c r="A8" s="183"/>
      <c r="B8" s="315"/>
      <c r="C8" s="1223" t="s">
        <v>926</v>
      </c>
      <c r="D8" s="1224"/>
      <c r="E8" s="1224"/>
      <c r="F8" s="1224"/>
      <c r="G8" s="1224"/>
      <c r="H8" s="1224"/>
      <c r="I8" s="1224"/>
      <c r="J8" s="1224"/>
      <c r="K8" s="1224"/>
      <c r="L8" s="392"/>
    </row>
    <row r="9" spans="1:12">
      <c r="A9" s="1226" t="s">
        <v>927</v>
      </c>
      <c r="B9" s="1227"/>
      <c r="C9" s="1230" t="s">
        <v>928</v>
      </c>
      <c r="D9" s="1231"/>
      <c r="E9" s="1230" t="s">
        <v>929</v>
      </c>
      <c r="F9" s="1231"/>
      <c r="G9" s="1230" t="s">
        <v>930</v>
      </c>
      <c r="H9" s="1231"/>
      <c r="I9" s="1230" t="s">
        <v>931</v>
      </c>
      <c r="J9" s="1231"/>
      <c r="K9" s="1230" t="s">
        <v>571</v>
      </c>
      <c r="L9" s="1231"/>
    </row>
    <row r="10" spans="1:12">
      <c r="A10" s="1228" t="s">
        <v>932</v>
      </c>
      <c r="B10" s="1229"/>
      <c r="C10" s="394" t="s">
        <v>933</v>
      </c>
      <c r="D10" s="396" t="s">
        <v>934</v>
      </c>
      <c r="E10" s="394" t="s">
        <v>933</v>
      </c>
      <c r="F10" s="395" t="s">
        <v>934</v>
      </c>
      <c r="G10" s="396" t="s">
        <v>933</v>
      </c>
      <c r="H10" s="396" t="s">
        <v>934</v>
      </c>
      <c r="I10" s="394" t="s">
        <v>933</v>
      </c>
      <c r="J10" s="396" t="s">
        <v>934</v>
      </c>
      <c r="K10" s="394" t="s">
        <v>933</v>
      </c>
      <c r="L10" s="395" t="s">
        <v>934</v>
      </c>
    </row>
    <row r="11" spans="1:12">
      <c r="A11" s="397" t="s">
        <v>935</v>
      </c>
      <c r="B11" s="398"/>
      <c r="C11" s="399">
        <f>+[3]Consolidado!$D$121</f>
        <v>14</v>
      </c>
      <c r="D11" s="400">
        <f>+[3]Consolidado!$E$121</f>
        <v>4</v>
      </c>
      <c r="E11" s="399">
        <f>+[3]Consolidado!$D$216</f>
        <v>0</v>
      </c>
      <c r="F11" s="400">
        <f>+[3]Consolidado!$E$216</f>
        <v>2</v>
      </c>
      <c r="G11" s="399">
        <f>+[3]Consolidado!$D$311</f>
        <v>0</v>
      </c>
      <c r="H11" s="400">
        <f>+[3]Consolidado!$E$311</f>
        <v>0</v>
      </c>
      <c r="I11" s="399">
        <f>+[3]Consolidado!$D$406</f>
        <v>0</v>
      </c>
      <c r="J11" s="400">
        <f>+[3]Consolidado!$E$406</f>
        <v>0</v>
      </c>
      <c r="K11" s="399">
        <f>+C11+E11+G11+I11</f>
        <v>14</v>
      </c>
      <c r="L11" s="393">
        <f>+D11+F11+H11+J11</f>
        <v>6</v>
      </c>
    </row>
    <row r="12" spans="1:12">
      <c r="A12" s="397" t="s">
        <v>936</v>
      </c>
      <c r="B12" s="398"/>
      <c r="C12" s="399">
        <f>+[3]Consolidado!$F$121</f>
        <v>25</v>
      </c>
      <c r="D12" s="400">
        <f>+[3]Consolidado!$G$121</f>
        <v>0</v>
      </c>
      <c r="E12" s="399">
        <f>+[3]Consolidado!$F$216</f>
        <v>0</v>
      </c>
      <c r="F12" s="400">
        <f>+[3]Consolidado!$G$216</f>
        <v>1</v>
      </c>
      <c r="G12" s="399">
        <f>+[3]Consolidado!$F$311</f>
        <v>0</v>
      </c>
      <c r="H12" s="400">
        <f>+[3]Consolidado!$G$311</f>
        <v>0</v>
      </c>
      <c r="I12" s="399">
        <f>+[3]Consolidado!$F$406</f>
        <v>0</v>
      </c>
      <c r="J12" s="400">
        <f>+[3]Consolidado!$G$406</f>
        <v>0</v>
      </c>
      <c r="K12" s="399">
        <f t="shared" ref="K12:L19" si="0">+C12+E12+G12+I12</f>
        <v>25</v>
      </c>
      <c r="L12" s="393">
        <f t="shared" si="0"/>
        <v>1</v>
      </c>
    </row>
    <row r="13" spans="1:12">
      <c r="A13" s="397" t="s">
        <v>937</v>
      </c>
      <c r="B13" s="398"/>
      <c r="C13" s="399">
        <f>+[3]Consolidado!$H$121</f>
        <v>40</v>
      </c>
      <c r="D13" s="400">
        <f>+[3]Consolidado!$I$121</f>
        <v>3</v>
      </c>
      <c r="E13" s="399">
        <f>+[3]Consolidado!$H$216</f>
        <v>3</v>
      </c>
      <c r="F13" s="400">
        <f>+[3]Consolidado!$I$216</f>
        <v>0</v>
      </c>
      <c r="G13" s="399">
        <f>+[3]Consolidado!$H$311</f>
        <v>0</v>
      </c>
      <c r="H13" s="400">
        <f>+[3]Consolidado!$I$311</f>
        <v>0</v>
      </c>
      <c r="I13" s="399">
        <f>+[3]Consolidado!$H$406</f>
        <v>0</v>
      </c>
      <c r="J13" s="400">
        <f>+[3]Consolidado!$I$406</f>
        <v>0</v>
      </c>
      <c r="K13" s="399">
        <f t="shared" si="0"/>
        <v>43</v>
      </c>
      <c r="L13" s="393">
        <f t="shared" si="0"/>
        <v>3</v>
      </c>
    </row>
    <row r="14" spans="1:12">
      <c r="A14" s="397" t="s">
        <v>938</v>
      </c>
      <c r="B14" s="398"/>
      <c r="C14" s="399">
        <f>+[3]Consolidado!$J$121</f>
        <v>100</v>
      </c>
      <c r="D14" s="400">
        <f>+[3]Consolidado!$K$121</f>
        <v>1</v>
      </c>
      <c r="E14" s="399">
        <f>+[3]Consolidado!$J$216</f>
        <v>49</v>
      </c>
      <c r="F14" s="400">
        <f>+[3]Consolidado!$K$216</f>
        <v>2</v>
      </c>
      <c r="G14" s="399">
        <f>+[3]Consolidado!$J$311</f>
        <v>0</v>
      </c>
      <c r="H14" s="400">
        <f>+[3]Consolidado!$K$311</f>
        <v>0</v>
      </c>
      <c r="I14" s="399">
        <f>+[3]Consolidado!$J$406</f>
        <v>1</v>
      </c>
      <c r="J14" s="400">
        <f>+[3]Consolidado!$K$406</f>
        <v>0</v>
      </c>
      <c r="K14" s="399">
        <f t="shared" si="0"/>
        <v>150</v>
      </c>
      <c r="L14" s="393">
        <f t="shared" si="0"/>
        <v>3</v>
      </c>
    </row>
    <row r="15" spans="1:12">
      <c r="A15" s="397" t="s">
        <v>939</v>
      </c>
      <c r="B15" s="398"/>
      <c r="C15" s="399">
        <f>+[3]Consolidado!$L$121</f>
        <v>398</v>
      </c>
      <c r="D15" s="400">
        <f>+[3]Consolidado!$M$121</f>
        <v>4</v>
      </c>
      <c r="E15" s="399">
        <f>+[3]Consolidado!$L$216</f>
        <v>248</v>
      </c>
      <c r="F15" s="400">
        <f>+[3]Consolidado!$M$216</f>
        <v>1</v>
      </c>
      <c r="G15" s="399">
        <f>+[3]Consolidado!$L$311</f>
        <v>0</v>
      </c>
      <c r="H15" s="400">
        <f>+[3]Consolidado!$M$311</f>
        <v>0</v>
      </c>
      <c r="I15" s="399">
        <f>+[3]Consolidado!$L$406</f>
        <v>5</v>
      </c>
      <c r="J15" s="400">
        <f>+[3]Consolidado!$M$406</f>
        <v>0</v>
      </c>
      <c r="K15" s="399">
        <f t="shared" si="0"/>
        <v>651</v>
      </c>
      <c r="L15" s="393">
        <f t="shared" si="0"/>
        <v>5</v>
      </c>
    </row>
    <row r="16" spans="1:12">
      <c r="A16" s="397" t="s">
        <v>940</v>
      </c>
      <c r="B16" s="398"/>
      <c r="C16" s="399">
        <f>+[3]Consolidado!$N$121</f>
        <v>942</v>
      </c>
      <c r="D16" s="400">
        <f>+[3]Consolidado!$O$121</f>
        <v>1</v>
      </c>
      <c r="E16" s="399">
        <f>+[3]Consolidado!$N$216</f>
        <v>648</v>
      </c>
      <c r="F16" s="400">
        <f>+[3]Consolidado!$O$216</f>
        <v>1</v>
      </c>
      <c r="G16" s="399">
        <f>+[3]Consolidado!$N$311</f>
        <v>2</v>
      </c>
      <c r="H16" s="400">
        <f>+[3]Consolidado!$O$311</f>
        <v>0</v>
      </c>
      <c r="I16" s="399">
        <f>+[3]Consolidado!$N$406</f>
        <v>13</v>
      </c>
      <c r="J16" s="400">
        <f>+[3]Consolidado!$O$406</f>
        <v>0</v>
      </c>
      <c r="K16" s="399">
        <f t="shared" si="0"/>
        <v>1605</v>
      </c>
      <c r="L16" s="393">
        <f t="shared" si="0"/>
        <v>2</v>
      </c>
    </row>
    <row r="17" spans="1:14">
      <c r="A17" s="397" t="s">
        <v>941</v>
      </c>
      <c r="B17" s="398"/>
      <c r="C17" s="399">
        <f>+[3]Consolidado!$P$121</f>
        <v>599</v>
      </c>
      <c r="D17" s="400">
        <f>+[3]Consolidado!$Q$121</f>
        <v>1</v>
      </c>
      <c r="E17" s="399">
        <f>+[3]Consolidado!$P$216</f>
        <v>415</v>
      </c>
      <c r="F17" s="400">
        <f>+[3]Consolidado!$Q$216</f>
        <v>0</v>
      </c>
      <c r="G17" s="399">
        <f>+[3]Consolidado!$P$311</f>
        <v>0</v>
      </c>
      <c r="H17" s="400">
        <f>+[3]Consolidado!$Q$311</f>
        <v>0</v>
      </c>
      <c r="I17" s="399">
        <f>+[3]Consolidado!$P$406</f>
        <v>11</v>
      </c>
      <c r="J17" s="400">
        <f>+[3]Consolidado!$Q$406</f>
        <v>0</v>
      </c>
      <c r="K17" s="399">
        <f t="shared" si="0"/>
        <v>1025</v>
      </c>
      <c r="L17" s="393">
        <f t="shared" si="0"/>
        <v>1</v>
      </c>
    </row>
    <row r="18" spans="1:14">
      <c r="A18" s="397" t="s">
        <v>942</v>
      </c>
      <c r="B18" s="398"/>
      <c r="C18" s="399">
        <f>+[3]Consolidado!$R$121</f>
        <v>155</v>
      </c>
      <c r="D18" s="400">
        <f>+[3]Consolidado!$S$121</f>
        <v>0</v>
      </c>
      <c r="E18" s="399">
        <f>+[3]Consolidado!$R$216</f>
        <v>100</v>
      </c>
      <c r="F18" s="400">
        <f>+[3]Consolidado!$S$216</f>
        <v>0</v>
      </c>
      <c r="G18" s="399">
        <f>+[3]Consolidado!$R$311</f>
        <v>0</v>
      </c>
      <c r="H18" s="400">
        <f>+[3]Consolidado!$S$311</f>
        <v>0</v>
      </c>
      <c r="I18" s="399">
        <f>+[3]Consolidado!$R$406</f>
        <v>1</v>
      </c>
      <c r="J18" s="400">
        <f>+[3]Consolidado!$S$406</f>
        <v>0</v>
      </c>
      <c r="K18" s="399">
        <f t="shared" si="0"/>
        <v>256</v>
      </c>
      <c r="L18" s="393">
        <f t="shared" si="0"/>
        <v>0</v>
      </c>
    </row>
    <row r="19" spans="1:14">
      <c r="A19" s="397" t="s">
        <v>943</v>
      </c>
      <c r="B19" s="398"/>
      <c r="C19" s="399">
        <f>+[3]Consolidado!$T$121</f>
        <v>21</v>
      </c>
      <c r="D19" s="400">
        <f>+[3]Consolidado!$U$121</f>
        <v>0</v>
      </c>
      <c r="E19" s="399">
        <f>+[3]Consolidado!$T$216</f>
        <v>11</v>
      </c>
      <c r="F19" s="400">
        <f>+[3]Consolidado!$U$216</f>
        <v>0</v>
      </c>
      <c r="G19" s="399">
        <f>+[3]Consolidado!$T$311</f>
        <v>0</v>
      </c>
      <c r="H19" s="400">
        <f>+[3]Consolidado!$U$311</f>
        <v>0</v>
      </c>
      <c r="I19" s="399">
        <f>+[3]Consolidado!$T$406</f>
        <v>0</v>
      </c>
      <c r="J19" s="400">
        <f>+[3]Consolidado!$U$406</f>
        <v>0</v>
      </c>
      <c r="K19" s="399">
        <f t="shared" si="0"/>
        <v>32</v>
      </c>
      <c r="L19" s="393">
        <f t="shared" si="0"/>
        <v>0</v>
      </c>
    </row>
    <row r="20" spans="1:14">
      <c r="A20" s="401" t="s">
        <v>923</v>
      </c>
      <c r="B20" s="402"/>
      <c r="C20" s="403">
        <f>SUM(C11:C19)</f>
        <v>2294</v>
      </c>
      <c r="D20" s="404">
        <f>SUM(D11:D19)</f>
        <v>14</v>
      </c>
      <c r="E20" s="403">
        <f t="shared" ref="E20:L20" si="1">SUM(E11:E19)</f>
        <v>1474</v>
      </c>
      <c r="F20" s="405">
        <f t="shared" si="1"/>
        <v>7</v>
      </c>
      <c r="G20" s="404">
        <f t="shared" si="1"/>
        <v>2</v>
      </c>
      <c r="H20" s="404">
        <f t="shared" si="1"/>
        <v>0</v>
      </c>
      <c r="I20" s="403">
        <f t="shared" si="1"/>
        <v>31</v>
      </c>
      <c r="J20" s="404">
        <f t="shared" si="1"/>
        <v>0</v>
      </c>
      <c r="K20" s="403">
        <f t="shared" si="1"/>
        <v>3801</v>
      </c>
      <c r="L20" s="395">
        <f t="shared" si="1"/>
        <v>21</v>
      </c>
    </row>
    <row r="21" spans="1:14">
      <c r="A21" s="406"/>
      <c r="B21" s="406"/>
      <c r="C21" s="406"/>
      <c r="D21" s="406"/>
      <c r="E21" s="406"/>
      <c r="F21" s="406"/>
      <c r="G21" s="406"/>
      <c r="H21" s="406"/>
      <c r="I21" s="406"/>
      <c r="J21" s="406"/>
      <c r="K21" s="406"/>
      <c r="L21" s="406"/>
    </row>
    <row r="22" spans="1:14">
      <c r="A22" s="406"/>
      <c r="B22" s="406"/>
      <c r="C22" s="406"/>
      <c r="D22" s="406"/>
      <c r="E22" s="406"/>
      <c r="F22" s="406"/>
      <c r="G22" s="406"/>
      <c r="H22" s="406"/>
      <c r="I22" s="406"/>
      <c r="J22" s="406"/>
      <c r="K22" s="406"/>
      <c r="L22" s="406"/>
    </row>
    <row r="23" spans="1:14">
      <c r="A23" s="407" t="s">
        <v>944</v>
      </c>
      <c r="B23" s="406"/>
      <c r="C23" s="406"/>
      <c r="D23" s="406"/>
      <c r="E23" s="406"/>
      <c r="F23" s="406"/>
      <c r="G23" s="406"/>
      <c r="H23" s="406"/>
      <c r="I23" s="406"/>
      <c r="J23" s="406"/>
      <c r="K23" s="406"/>
      <c r="L23" s="406"/>
    </row>
    <row r="24" spans="1:14">
      <c r="A24" s="406"/>
      <c r="B24" s="406"/>
      <c r="C24" s="406"/>
      <c r="D24" s="406"/>
      <c r="E24" s="406"/>
      <c r="F24" s="406"/>
      <c r="G24" s="406"/>
      <c r="H24" s="406"/>
      <c r="I24" s="406"/>
      <c r="J24" s="406"/>
      <c r="K24" s="406"/>
      <c r="L24" s="406"/>
    </row>
    <row r="25" spans="1:14">
      <c r="A25" s="408" t="s">
        <v>945</v>
      </c>
      <c r="B25" s="409"/>
      <c r="C25" s="410">
        <f>SUM(C26:C29)</f>
        <v>2286</v>
      </c>
      <c r="D25" s="411"/>
      <c r="E25" s="410">
        <f>SUM(E26:E29)</f>
        <v>1473</v>
      </c>
      <c r="F25" s="411"/>
      <c r="G25" s="412">
        <f>SUM(G26:G29)</f>
        <v>2</v>
      </c>
      <c r="H25" s="412"/>
      <c r="I25" s="410">
        <f>SUM(I26:I29)</f>
        <v>31</v>
      </c>
      <c r="J25" s="411"/>
      <c r="K25" s="412">
        <f>SUM(K26:K29)</f>
        <v>3792</v>
      </c>
      <c r="L25" s="413"/>
      <c r="N25" s="119"/>
    </row>
    <row r="26" spans="1:14">
      <c r="A26" s="397" t="s">
        <v>149</v>
      </c>
      <c r="B26" s="414" t="s">
        <v>150</v>
      </c>
      <c r="C26" s="415">
        <f>+[3]Consolidado!$B$128-[3]Consolidado!$L$128</f>
        <v>943</v>
      </c>
      <c r="D26" s="416"/>
      <c r="E26" s="415">
        <f>+[3]Consolidado!$B$223-[3]Consolidado!$L$223</f>
        <v>590</v>
      </c>
      <c r="F26" s="416"/>
      <c r="G26" s="415">
        <f>+[3]Consolidado!$B$318-[3]Consolidado!$L$318</f>
        <v>2</v>
      </c>
      <c r="H26" s="417"/>
      <c r="I26" s="415">
        <f>+[3]Consolidado!$B$413-[3]Consolidado!$L$413</f>
        <v>3</v>
      </c>
      <c r="J26" s="416"/>
      <c r="K26" s="417">
        <f>SUM(C26:I26)</f>
        <v>1538</v>
      </c>
      <c r="L26" s="398"/>
    </row>
    <row r="27" spans="1:14">
      <c r="A27" s="418" t="s">
        <v>946</v>
      </c>
      <c r="B27" s="419" t="s">
        <v>947</v>
      </c>
      <c r="C27" s="415">
        <f>+[3]Consolidado!$B$129+[3]Consolidado!$B$130-[3]Consolidado!$L$129-[3]Consolidado!$L$130</f>
        <v>1321</v>
      </c>
      <c r="D27" s="416"/>
      <c r="E27" s="415">
        <f>+[3]Consolidado!$B$224+[3]Consolidado!$B$225-[3]Consolidado!$L$224-[3]Consolidado!$L$225</f>
        <v>875</v>
      </c>
      <c r="F27" s="416"/>
      <c r="G27" s="415">
        <f>+[3]Consolidado!$B$319+[3]Consolidado!$B$320-[3]Consolidado!$L$319-[3]Consolidado!$L$320</f>
        <v>0</v>
      </c>
      <c r="H27" s="417"/>
      <c r="I27" s="415">
        <f>+[3]Consolidado!$B$414+[3]Consolidado!$B$415-[3]Consolidado!$L$414-[3]Consolidado!$L$415</f>
        <v>28</v>
      </c>
      <c r="J27" s="416"/>
      <c r="K27" s="417">
        <f>SUM(C27:I27)</f>
        <v>2224</v>
      </c>
      <c r="L27" s="398"/>
    </row>
    <row r="28" spans="1:14">
      <c r="A28" s="397" t="s">
        <v>948</v>
      </c>
      <c r="B28" s="420" t="s">
        <v>949</v>
      </c>
      <c r="C28" s="415">
        <f>+[3]Consolidado!$L$128</f>
        <v>0</v>
      </c>
      <c r="D28" s="416"/>
      <c r="E28" s="415">
        <f>+[3]Consolidado!$L$223</f>
        <v>1</v>
      </c>
      <c r="F28" s="416"/>
      <c r="G28" s="415">
        <f>+[3]Consolidado!$L$318</f>
        <v>0</v>
      </c>
      <c r="H28" s="417"/>
      <c r="I28" s="415">
        <f>+[3]Consolidado!$L$413</f>
        <v>0</v>
      </c>
      <c r="J28" s="416"/>
      <c r="K28" s="417">
        <f>SUM(C28:I28)</f>
        <v>1</v>
      </c>
      <c r="L28" s="398"/>
    </row>
    <row r="29" spans="1:14">
      <c r="A29" s="418" t="s">
        <v>950</v>
      </c>
      <c r="B29" s="419" t="s">
        <v>947</v>
      </c>
      <c r="C29" s="421">
        <f>+[3]Consolidado!$L$129+[3]Consolidado!$L$130</f>
        <v>22</v>
      </c>
      <c r="D29" s="422"/>
      <c r="E29" s="421">
        <f>+[3]Consolidado!$L$224+[3]Consolidado!$L$225</f>
        <v>7</v>
      </c>
      <c r="F29" s="422"/>
      <c r="G29" s="421">
        <f>+[3]Consolidado!$L$319+[3]Consolidado!$L$320</f>
        <v>0</v>
      </c>
      <c r="H29" s="423"/>
      <c r="I29" s="421">
        <f>+[3]Consolidado!$L$414+[3]Consolidado!$L$415</f>
        <v>0</v>
      </c>
      <c r="J29" s="422"/>
      <c r="K29" s="423">
        <f>SUM(C29:I29)</f>
        <v>29</v>
      </c>
      <c r="L29" s="402"/>
    </row>
    <row r="30" spans="1:14">
      <c r="A30" s="408" t="s">
        <v>951</v>
      </c>
      <c r="B30" s="413"/>
      <c r="C30" s="410">
        <f>SUM(C31:C32)</f>
        <v>2286</v>
      </c>
      <c r="D30" s="411"/>
      <c r="E30" s="412">
        <f>SUM(E31:E32)</f>
        <v>1473</v>
      </c>
      <c r="F30" s="411"/>
      <c r="G30" s="410">
        <f>SUM(G31:G32)</f>
        <v>2</v>
      </c>
      <c r="H30" s="411"/>
      <c r="I30" s="412">
        <f>SUM(I31:I32)</f>
        <v>31</v>
      </c>
      <c r="J30" s="411"/>
      <c r="K30" s="412">
        <f>SUM(K31:K32)</f>
        <v>3792</v>
      </c>
      <c r="L30" s="413"/>
    </row>
    <row r="31" spans="1:14">
      <c r="A31" s="397" t="s">
        <v>952</v>
      </c>
      <c r="B31" s="398"/>
      <c r="C31" s="415">
        <f>+[3]Consolidado!$F$127</f>
        <v>2059</v>
      </c>
      <c r="D31" s="416"/>
      <c r="E31" s="417">
        <f>+[3]Consolidado!$F$222</f>
        <v>1394</v>
      </c>
      <c r="F31" s="416"/>
      <c r="G31" s="415">
        <f>+[3]Consolidado!$F$317</f>
        <v>2</v>
      </c>
      <c r="H31" s="416"/>
      <c r="I31" s="417">
        <f>+[3]Consolidado!$F$412</f>
        <v>31</v>
      </c>
      <c r="J31" s="416"/>
      <c r="K31" s="417">
        <f>SUM(C31:I31)</f>
        <v>3486</v>
      </c>
      <c r="L31" s="398"/>
    </row>
    <row r="32" spans="1:14">
      <c r="A32" s="401" t="s">
        <v>953</v>
      </c>
      <c r="B32" s="402"/>
      <c r="C32" s="421">
        <f>+[3]Consolidado!$D$127</f>
        <v>227</v>
      </c>
      <c r="D32" s="422"/>
      <c r="E32" s="423">
        <f>+[3]Consolidado!$D$222</f>
        <v>79</v>
      </c>
      <c r="F32" s="422"/>
      <c r="G32" s="421">
        <f>+[3]Consolidado!$D$317</f>
        <v>0</v>
      </c>
      <c r="H32" s="422"/>
      <c r="I32" s="423">
        <f>+[3]Consolidado!$D$412</f>
        <v>0</v>
      </c>
      <c r="J32" s="422"/>
      <c r="K32" s="423">
        <f>SUM(C32:I32)</f>
        <v>306</v>
      </c>
      <c r="L32" s="402"/>
    </row>
    <row r="33" spans="1:12">
      <c r="A33" s="408" t="s">
        <v>954</v>
      </c>
      <c r="B33" s="413"/>
      <c r="C33" s="412">
        <f>SUM(C34:C36)</f>
        <v>2286</v>
      </c>
      <c r="D33" s="412"/>
      <c r="E33" s="410">
        <f>SUM(E34:E36)</f>
        <v>1473</v>
      </c>
      <c r="F33" s="411"/>
      <c r="G33" s="412">
        <f>SUM(G34:G36)</f>
        <v>2</v>
      </c>
      <c r="H33" s="412"/>
      <c r="I33" s="410">
        <f>SUM(I34:I36)</f>
        <v>31</v>
      </c>
      <c r="J33" s="411"/>
      <c r="K33" s="412">
        <f>SUM(K34:K36)</f>
        <v>3792</v>
      </c>
      <c r="L33" s="413"/>
    </row>
    <row r="34" spans="1:12">
      <c r="A34" s="397" t="s">
        <v>955</v>
      </c>
      <c r="B34" s="398"/>
      <c r="C34" s="417">
        <f>+[3]Consolidado!$F$137</f>
        <v>1440</v>
      </c>
      <c r="D34" s="417"/>
      <c r="E34" s="415">
        <f>+[3]Consolidado!$F$232</f>
        <v>987</v>
      </c>
      <c r="F34" s="416"/>
      <c r="G34" s="417">
        <f>+[3]Consolidado!$F$327</f>
        <v>0</v>
      </c>
      <c r="H34" s="417"/>
      <c r="I34" s="415">
        <f>+[3]Consolidado!$F$422</f>
        <v>31</v>
      </c>
      <c r="J34" s="416"/>
      <c r="K34" s="417">
        <f>SUM(C34:I34)</f>
        <v>2458</v>
      </c>
      <c r="L34" s="398"/>
    </row>
    <row r="35" spans="1:12">
      <c r="A35" s="397" t="s">
        <v>956</v>
      </c>
      <c r="B35" s="398"/>
      <c r="C35" s="417">
        <f>+[3]Consolidado!$G$137</f>
        <v>846</v>
      </c>
      <c r="D35" s="417"/>
      <c r="E35" s="415">
        <f>+[3]Consolidado!$G$232</f>
        <v>486</v>
      </c>
      <c r="F35" s="416"/>
      <c r="G35" s="417">
        <f>+[3]Consolidado!$G$327</f>
        <v>2</v>
      </c>
      <c r="H35" s="417"/>
      <c r="I35" s="415">
        <f>+[3]Consolidado!$G$422</f>
        <v>0</v>
      </c>
      <c r="J35" s="416"/>
      <c r="K35" s="417">
        <f>SUM(C35:I35)</f>
        <v>1334</v>
      </c>
      <c r="L35" s="398"/>
    </row>
    <row r="36" spans="1:12">
      <c r="A36" s="424" t="s">
        <v>151</v>
      </c>
      <c r="B36" s="402"/>
      <c r="C36" s="423">
        <f>+[3]Consolidado!$H$137</f>
        <v>0</v>
      </c>
      <c r="D36" s="423"/>
      <c r="E36" s="421">
        <f>+[3]Consolidado!$H$232</f>
        <v>0</v>
      </c>
      <c r="F36" s="422"/>
      <c r="G36" s="423">
        <f>+[3]Consolidado!$H$327</f>
        <v>0</v>
      </c>
      <c r="H36" s="423"/>
      <c r="I36" s="421">
        <f>+[3]Consolidado!$H$422</f>
        <v>0</v>
      </c>
      <c r="J36" s="422"/>
      <c r="K36" s="423">
        <f>SUM(C36:I36)</f>
        <v>0</v>
      </c>
      <c r="L36" s="402"/>
    </row>
    <row r="37" spans="1:12">
      <c r="A37" s="397" t="s">
        <v>957</v>
      </c>
      <c r="B37" s="398"/>
      <c r="C37" s="410">
        <f>SUM(C38:C40)</f>
        <v>2286</v>
      </c>
      <c r="D37" s="412"/>
      <c r="E37" s="410">
        <f>SUM(E38:E40)</f>
        <v>1473</v>
      </c>
      <c r="F37" s="411"/>
      <c r="G37" s="412">
        <f>SUM(G38:G40)</f>
        <v>2</v>
      </c>
      <c r="H37" s="412"/>
      <c r="I37" s="410">
        <f>SUM(I38:I40)</f>
        <v>31</v>
      </c>
      <c r="J37" s="411"/>
      <c r="K37" s="417">
        <f>SUM(K38:K40)</f>
        <v>3792</v>
      </c>
      <c r="L37" s="398"/>
    </row>
    <row r="38" spans="1:12">
      <c r="A38" s="397" t="s">
        <v>958</v>
      </c>
      <c r="B38" s="398"/>
      <c r="C38" s="415">
        <f>+[3]Consolidado!$B128</f>
        <v>943</v>
      </c>
      <c r="D38" s="417"/>
      <c r="E38" s="415">
        <f>+[3]Consolidado!$B223</f>
        <v>591</v>
      </c>
      <c r="F38" s="416"/>
      <c r="G38" s="417">
        <f>+[3]Consolidado!$B318</f>
        <v>2</v>
      </c>
      <c r="H38" s="417"/>
      <c r="I38" s="415">
        <f>+[3]Consolidado!$B413</f>
        <v>3</v>
      </c>
      <c r="J38" s="416"/>
      <c r="K38" s="417">
        <f>SUM(C38:I38)</f>
        <v>1539</v>
      </c>
      <c r="L38" s="398"/>
    </row>
    <row r="39" spans="1:12">
      <c r="A39" s="397" t="s">
        <v>959</v>
      </c>
      <c r="B39" s="398"/>
      <c r="C39" s="415">
        <f>+[3]Consolidado!$B129</f>
        <v>20</v>
      </c>
      <c r="D39" s="417"/>
      <c r="E39" s="415">
        <f>+[3]Consolidado!$B224</f>
        <v>44</v>
      </c>
      <c r="F39" s="416"/>
      <c r="G39" s="417">
        <f>+[3]Consolidado!$B319</f>
        <v>0</v>
      </c>
      <c r="H39" s="417"/>
      <c r="I39" s="415">
        <f>+[3]Consolidado!$B414</f>
        <v>0</v>
      </c>
      <c r="J39" s="416"/>
      <c r="K39" s="417">
        <f>SUM(C39:I39)</f>
        <v>64</v>
      </c>
      <c r="L39" s="398"/>
    </row>
    <row r="40" spans="1:12">
      <c r="A40" s="401" t="s">
        <v>960</v>
      </c>
      <c r="B40" s="402"/>
      <c r="C40" s="421">
        <f>+[3]Consolidado!$B130</f>
        <v>1323</v>
      </c>
      <c r="D40" s="423"/>
      <c r="E40" s="421">
        <f>+[3]Consolidado!$B225</f>
        <v>838</v>
      </c>
      <c r="F40" s="422"/>
      <c r="G40" s="423">
        <f>+[3]Consolidado!$B320</f>
        <v>0</v>
      </c>
      <c r="H40" s="423"/>
      <c r="I40" s="421">
        <f>+[3]Consolidado!$B415</f>
        <v>28</v>
      </c>
      <c r="J40" s="422"/>
      <c r="K40" s="423">
        <f>SUM(C40:I40)</f>
        <v>2189</v>
      </c>
      <c r="L40" s="402"/>
    </row>
    <row r="41" spans="1:12">
      <c r="A41" s="406"/>
      <c r="B41" s="406"/>
      <c r="C41" s="406"/>
      <c r="D41" s="406"/>
      <c r="E41" s="406"/>
      <c r="F41" s="406"/>
      <c r="G41" s="406"/>
      <c r="H41" s="406"/>
      <c r="I41" s="406"/>
      <c r="J41" s="406"/>
      <c r="K41" s="406"/>
      <c r="L41" s="406"/>
    </row>
    <row r="42" spans="1:12">
      <c r="A42" s="406"/>
      <c r="B42" s="406"/>
      <c r="C42" s="406"/>
      <c r="D42" s="406"/>
      <c r="E42" s="406"/>
      <c r="F42" s="406"/>
      <c r="G42" s="406"/>
      <c r="H42" s="406"/>
      <c r="I42" s="406"/>
      <c r="J42" s="406"/>
      <c r="K42" s="406"/>
      <c r="L42" s="406"/>
    </row>
    <row r="43" spans="1:12">
      <c r="A43" s="407" t="s">
        <v>961</v>
      </c>
      <c r="B43" s="406"/>
      <c r="C43" s="406"/>
      <c r="D43" s="406"/>
      <c r="E43" s="406"/>
      <c r="F43" s="406"/>
      <c r="G43" s="406"/>
      <c r="H43" s="406"/>
      <c r="I43" s="406"/>
      <c r="J43" s="406"/>
      <c r="K43" s="406"/>
      <c r="L43" s="406"/>
    </row>
    <row r="44" spans="1:12">
      <c r="A44" s="406"/>
      <c r="B44" s="406"/>
      <c r="C44" s="406"/>
      <c r="D44" s="406"/>
      <c r="E44" s="406"/>
      <c r="F44" s="406"/>
      <c r="G44" s="406"/>
      <c r="H44" s="406"/>
      <c r="I44" s="406"/>
      <c r="J44" s="406"/>
      <c r="K44" s="406"/>
      <c r="L44" s="406"/>
    </row>
    <row r="45" spans="1:12">
      <c r="A45" s="425" t="s">
        <v>926</v>
      </c>
      <c r="B45" s="425"/>
      <c r="C45" s="426">
        <v>-15</v>
      </c>
      <c r="D45" s="426" t="s">
        <v>827</v>
      </c>
      <c r="E45" s="426" t="s">
        <v>828</v>
      </c>
      <c r="F45" s="426" t="s">
        <v>829</v>
      </c>
      <c r="G45" s="426" t="s">
        <v>830</v>
      </c>
      <c r="H45" s="426" t="s">
        <v>831</v>
      </c>
      <c r="I45" s="426" t="s">
        <v>832</v>
      </c>
      <c r="J45" s="426" t="s">
        <v>962</v>
      </c>
      <c r="K45" s="426" t="s">
        <v>571</v>
      </c>
      <c r="L45" s="406"/>
    </row>
    <row r="46" spans="1:12">
      <c r="A46" s="425" t="s">
        <v>963</v>
      </c>
      <c r="B46" s="425"/>
      <c r="C46" s="426">
        <f>+[3]Consolidado!C$102</f>
        <v>5</v>
      </c>
      <c r="D46" s="426">
        <f>+[3]Consolidado!D$102</f>
        <v>332</v>
      </c>
      <c r="E46" s="426">
        <f>+[3]Consolidado!E$102</f>
        <v>579</v>
      </c>
      <c r="F46" s="426">
        <f>+[3]Consolidado!F$102</f>
        <v>567</v>
      </c>
      <c r="G46" s="426">
        <f>+[3]Consolidado!G$102</f>
        <v>477</v>
      </c>
      <c r="H46" s="426">
        <f>+[3]Consolidado!H$102</f>
        <v>244</v>
      </c>
      <c r="I46" s="426">
        <f>+[3]Consolidado!I$102</f>
        <v>75</v>
      </c>
      <c r="J46" s="426">
        <f>+[3]Consolidado!J$102</f>
        <v>7</v>
      </c>
      <c r="K46" s="427">
        <f>SUM(C46:J46)</f>
        <v>2286</v>
      </c>
      <c r="L46" s="406"/>
    </row>
    <row r="47" spans="1:12">
      <c r="A47" s="425" t="s">
        <v>964</v>
      </c>
      <c r="B47" s="425"/>
      <c r="C47" s="426">
        <f>+[3]Consolidado!C$197</f>
        <v>5</v>
      </c>
      <c r="D47" s="426">
        <f>+[3]Consolidado!D$197</f>
        <v>231</v>
      </c>
      <c r="E47" s="426">
        <f>+[3]Consolidado!E$197</f>
        <v>411</v>
      </c>
      <c r="F47" s="426">
        <f>+[3]Consolidado!F$197</f>
        <v>372</v>
      </c>
      <c r="G47" s="426">
        <f>+[3]Consolidado!G$197</f>
        <v>269</v>
      </c>
      <c r="H47" s="426">
        <f>+[3]Consolidado!H$197</f>
        <v>146</v>
      </c>
      <c r="I47" s="426">
        <f>+[3]Consolidado!I$197</f>
        <v>36</v>
      </c>
      <c r="J47" s="426">
        <f>+[3]Consolidado!J$197</f>
        <v>3</v>
      </c>
      <c r="K47" s="427">
        <f>SUM(C47:J47)</f>
        <v>1473</v>
      </c>
      <c r="L47" s="406"/>
    </row>
    <row r="48" spans="1:12">
      <c r="A48" s="425" t="s">
        <v>965</v>
      </c>
      <c r="B48" s="425"/>
      <c r="C48" s="426">
        <f>+[3]Consolidado!C$292</f>
        <v>0</v>
      </c>
      <c r="D48" s="426">
        <f>+[3]Consolidado!D$292</f>
        <v>0</v>
      </c>
      <c r="E48" s="426">
        <f>+[3]Consolidado!E$292</f>
        <v>0</v>
      </c>
      <c r="F48" s="426">
        <f>+[3]Consolidado!F$292</f>
        <v>0</v>
      </c>
      <c r="G48" s="426">
        <f>+[3]Consolidado!G$292</f>
        <v>0</v>
      </c>
      <c r="H48" s="426">
        <f>+[3]Consolidado!H$292</f>
        <v>2</v>
      </c>
      <c r="I48" s="426">
        <f>+[3]Consolidado!I$292</f>
        <v>0</v>
      </c>
      <c r="J48" s="426">
        <f>+[3]Consolidado!J$292</f>
        <v>0</v>
      </c>
      <c r="K48" s="427">
        <f>SUM(C48:J48)</f>
        <v>2</v>
      </c>
      <c r="L48" s="406"/>
    </row>
    <row r="49" spans="1:12">
      <c r="A49" s="425" t="s">
        <v>966</v>
      </c>
      <c r="B49" s="425"/>
      <c r="C49" s="426">
        <f>+[3]Consolidado!C$387</f>
        <v>0</v>
      </c>
      <c r="D49" s="426">
        <f>+[3]Consolidado!D$387</f>
        <v>5</v>
      </c>
      <c r="E49" s="426">
        <f>+[3]Consolidado!E$387</f>
        <v>7</v>
      </c>
      <c r="F49" s="426">
        <f>+[3]Consolidado!F$387</f>
        <v>5</v>
      </c>
      <c r="G49" s="426">
        <f>+[3]Consolidado!G$387</f>
        <v>6</v>
      </c>
      <c r="H49" s="426">
        <f>+[3]Consolidado!H$387</f>
        <v>8</v>
      </c>
      <c r="I49" s="426">
        <f>+[3]Consolidado!I$387</f>
        <v>0</v>
      </c>
      <c r="J49" s="426">
        <f>+[3]Consolidado!J$387</f>
        <v>0</v>
      </c>
      <c r="K49" s="427">
        <f>SUM(C49:J49)</f>
        <v>31</v>
      </c>
      <c r="L49" s="406"/>
    </row>
    <row r="50" spans="1:12">
      <c r="A50" s="425" t="s">
        <v>571</v>
      </c>
      <c r="B50" s="425"/>
      <c r="C50" s="426">
        <f>SUM(C46:C49)</f>
        <v>10</v>
      </c>
      <c r="D50" s="426">
        <f t="shared" ref="D50:K50" si="2">SUM(D46:D49)</f>
        <v>568</v>
      </c>
      <c r="E50" s="426">
        <f t="shared" si="2"/>
        <v>997</v>
      </c>
      <c r="F50" s="426">
        <f t="shared" si="2"/>
        <v>944</v>
      </c>
      <c r="G50" s="426">
        <f t="shared" si="2"/>
        <v>752</v>
      </c>
      <c r="H50" s="426">
        <f t="shared" si="2"/>
        <v>400</v>
      </c>
      <c r="I50" s="426">
        <f t="shared" si="2"/>
        <v>111</v>
      </c>
      <c r="J50" s="426">
        <f t="shared" si="2"/>
        <v>10</v>
      </c>
      <c r="K50" s="427">
        <f t="shared" si="2"/>
        <v>3792</v>
      </c>
      <c r="L50" s="406"/>
    </row>
    <row r="51" spans="1:12">
      <c r="A51" s="406"/>
      <c r="B51" s="406"/>
      <c r="C51" s="406"/>
      <c r="D51" s="406"/>
      <c r="E51" s="406"/>
      <c r="F51" s="406"/>
      <c r="G51" s="406"/>
      <c r="H51" s="406"/>
      <c r="I51" s="406"/>
      <c r="J51" s="406"/>
      <c r="K51" s="406"/>
      <c r="L51" s="406"/>
    </row>
    <row r="52" spans="1:12">
      <c r="A52" s="406"/>
      <c r="B52" s="406"/>
      <c r="C52" s="406"/>
      <c r="D52" s="406"/>
      <c r="E52" s="406"/>
      <c r="F52" s="406"/>
      <c r="G52" s="406"/>
      <c r="H52" s="406"/>
      <c r="I52" s="406"/>
      <c r="J52" s="406"/>
      <c r="K52" s="406"/>
      <c r="L52" s="406"/>
    </row>
    <row r="53" spans="1:12">
      <c r="A53" s="407" t="s">
        <v>967</v>
      </c>
      <c r="B53" s="406"/>
      <c r="C53" s="406"/>
      <c r="D53" s="406"/>
      <c r="E53" s="406"/>
      <c r="F53" s="406"/>
      <c r="G53" s="406"/>
      <c r="H53" s="406"/>
      <c r="I53" s="406"/>
      <c r="J53" s="406"/>
      <c r="K53" s="406"/>
      <c r="L53" s="406"/>
    </row>
    <row r="54" spans="1:12">
      <c r="A54" s="406"/>
      <c r="B54" s="406"/>
      <c r="C54" s="406"/>
      <c r="D54" s="406"/>
      <c r="E54" s="406"/>
      <c r="F54" s="406"/>
      <c r="G54" s="406"/>
      <c r="H54" s="406"/>
      <c r="I54" s="406"/>
      <c r="J54" s="406"/>
      <c r="K54" s="406"/>
      <c r="L54" s="406"/>
    </row>
    <row r="55" spans="1:12">
      <c r="A55" s="425" t="s">
        <v>926</v>
      </c>
      <c r="B55" s="425"/>
      <c r="C55" s="426">
        <v>-15</v>
      </c>
      <c r="D55" s="426" t="s">
        <v>827</v>
      </c>
      <c r="E55" s="426" t="s">
        <v>828</v>
      </c>
      <c r="F55" s="426" t="s">
        <v>829</v>
      </c>
      <c r="G55" s="426" t="s">
        <v>830</v>
      </c>
      <c r="H55" s="426" t="s">
        <v>831</v>
      </c>
      <c r="I55" s="426" t="s">
        <v>832</v>
      </c>
      <c r="J55" s="426" t="s">
        <v>962</v>
      </c>
      <c r="K55" s="426" t="s">
        <v>571</v>
      </c>
      <c r="L55" s="406"/>
    </row>
    <row r="56" spans="1:12">
      <c r="A56" s="425" t="s">
        <v>968</v>
      </c>
      <c r="B56" s="425"/>
      <c r="C56" s="426">
        <f>+[3]Consolidado!C$103</f>
        <v>0</v>
      </c>
      <c r="D56" s="426">
        <f>+[3]Consolidado!D$103</f>
        <v>15</v>
      </c>
      <c r="E56" s="426">
        <f>+[3]Consolidado!E$103</f>
        <v>33</v>
      </c>
      <c r="F56" s="426">
        <f>+[3]Consolidado!F$103</f>
        <v>30</v>
      </c>
      <c r="G56" s="426">
        <f>+[3]Consolidado!G$103</f>
        <v>35</v>
      </c>
      <c r="H56" s="426">
        <f>+[3]Consolidado!H$103</f>
        <v>27</v>
      </c>
      <c r="I56" s="426">
        <f>+[3]Consolidado!I$103</f>
        <v>19</v>
      </c>
      <c r="J56" s="426">
        <f>+[3]Consolidado!J$103</f>
        <v>2</v>
      </c>
      <c r="K56" s="426">
        <f>SUM(C56:J56)</f>
        <v>161</v>
      </c>
      <c r="L56" s="406"/>
    </row>
    <row r="57" spans="1:12">
      <c r="A57" s="425" t="s">
        <v>964</v>
      </c>
      <c r="B57" s="425"/>
      <c r="C57" s="426">
        <f>+[3]Consolidado!C$198</f>
        <v>1</v>
      </c>
      <c r="D57" s="426">
        <f>+[3]Consolidado!D$198</f>
        <v>17</v>
      </c>
      <c r="E57" s="426">
        <f>+[3]Consolidado!E$198</f>
        <v>37</v>
      </c>
      <c r="F57" s="426">
        <f>+[3]Consolidado!F$198</f>
        <v>47</v>
      </c>
      <c r="G57" s="426">
        <f>+[3]Consolidado!G$198</f>
        <v>46</v>
      </c>
      <c r="H57" s="426">
        <f>+[3]Consolidado!H$198</f>
        <v>23</v>
      </c>
      <c r="I57" s="426">
        <f>+[3]Consolidado!I$198</f>
        <v>11</v>
      </c>
      <c r="J57" s="426">
        <f>+[3]Consolidado!J$198</f>
        <v>3</v>
      </c>
      <c r="K57" s="426">
        <f>SUM(C57:J57)</f>
        <v>185</v>
      </c>
      <c r="L57" s="406"/>
    </row>
    <row r="58" spans="1:12">
      <c r="A58" s="425" t="s">
        <v>965</v>
      </c>
      <c r="B58" s="425"/>
      <c r="C58" s="426">
        <f>+[3]Consolidado!C$293</f>
        <v>0</v>
      </c>
      <c r="D58" s="426">
        <f>+[3]Consolidado!D$293</f>
        <v>0</v>
      </c>
      <c r="E58" s="426">
        <f>+[3]Consolidado!E$293</f>
        <v>0</v>
      </c>
      <c r="F58" s="426">
        <f>+[3]Consolidado!F$293</f>
        <v>0</v>
      </c>
      <c r="G58" s="426">
        <f>+[3]Consolidado!G$293</f>
        <v>0</v>
      </c>
      <c r="H58" s="426">
        <f>+[3]Consolidado!H$293</f>
        <v>0</v>
      </c>
      <c r="I58" s="426">
        <f>+[3]Consolidado!I$293</f>
        <v>0</v>
      </c>
      <c r="J58" s="426">
        <f>+[3]Consolidado!J$293</f>
        <v>0</v>
      </c>
      <c r="K58" s="426">
        <f>SUM(C58:J58)</f>
        <v>0</v>
      </c>
      <c r="L58" s="406"/>
    </row>
    <row r="59" spans="1:12">
      <c r="A59" s="428" t="s">
        <v>966</v>
      </c>
      <c r="B59" s="428"/>
      <c r="C59" s="426">
        <f>+[3]Consolidado!C$388</f>
        <v>0</v>
      </c>
      <c r="D59" s="426">
        <f>+[3]Consolidado!D$388</f>
        <v>0</v>
      </c>
      <c r="E59" s="426">
        <f>+[3]Consolidado!E$388</f>
        <v>0</v>
      </c>
      <c r="F59" s="426">
        <f>+[3]Consolidado!F$388</f>
        <v>0</v>
      </c>
      <c r="G59" s="426">
        <f>+[3]Consolidado!G$388</f>
        <v>0</v>
      </c>
      <c r="H59" s="426">
        <f>+[3]Consolidado!H$388</f>
        <v>0</v>
      </c>
      <c r="I59" s="426">
        <f>+[3]Consolidado!I$388</f>
        <v>0</v>
      </c>
      <c r="J59" s="426">
        <f>+[3]Consolidado!J$388</f>
        <v>0</v>
      </c>
      <c r="K59" s="426">
        <f>SUM(C59:J59)</f>
        <v>0</v>
      </c>
      <c r="L59" s="406"/>
    </row>
    <row r="60" spans="1:12">
      <c r="A60" s="429" t="s">
        <v>571</v>
      </c>
      <c r="B60" s="430"/>
      <c r="C60" s="426">
        <f>SUM(C56:C59)</f>
        <v>1</v>
      </c>
      <c r="D60" s="426">
        <f t="shared" ref="D60:K60" si="3">SUM(D56:D59)</f>
        <v>32</v>
      </c>
      <c r="E60" s="426">
        <f t="shared" si="3"/>
        <v>70</v>
      </c>
      <c r="F60" s="426">
        <f t="shared" si="3"/>
        <v>77</v>
      </c>
      <c r="G60" s="426">
        <f t="shared" si="3"/>
        <v>81</v>
      </c>
      <c r="H60" s="426">
        <f t="shared" si="3"/>
        <v>50</v>
      </c>
      <c r="I60" s="426">
        <f t="shared" si="3"/>
        <v>30</v>
      </c>
      <c r="J60" s="426">
        <f t="shared" si="3"/>
        <v>5</v>
      </c>
      <c r="K60" s="426">
        <f t="shared" si="3"/>
        <v>346</v>
      </c>
      <c r="L60" s="406"/>
    </row>
    <row r="61" spans="1:12">
      <c r="A61" s="406"/>
      <c r="B61" s="406"/>
      <c r="C61" s="406"/>
      <c r="D61" s="406"/>
      <c r="E61" s="406"/>
      <c r="F61" s="406"/>
      <c r="G61" s="406"/>
      <c r="H61" s="406"/>
      <c r="I61" s="406"/>
      <c r="J61" s="406"/>
      <c r="K61" s="406"/>
      <c r="L61" s="406"/>
    </row>
    <row r="62" spans="1:12">
      <c r="A62" s="406"/>
      <c r="B62" s="406"/>
      <c r="C62" s="406"/>
      <c r="D62" s="406"/>
      <c r="E62" s="406"/>
      <c r="F62" s="406"/>
      <c r="G62" s="406"/>
      <c r="H62" s="406"/>
      <c r="I62" s="406"/>
      <c r="J62" s="406"/>
      <c r="K62" s="406"/>
      <c r="L62" s="406"/>
    </row>
    <row r="63" spans="1:12">
      <c r="A63" s="406"/>
      <c r="B63" s="406"/>
      <c r="C63" s="406"/>
      <c r="D63" s="406"/>
      <c r="E63" s="406"/>
      <c r="F63" s="406"/>
      <c r="G63" s="406"/>
      <c r="H63" s="406"/>
      <c r="I63" s="406"/>
      <c r="J63" s="406"/>
      <c r="K63" s="406"/>
      <c r="L63" s="406"/>
    </row>
    <row r="64" spans="1:12">
      <c r="A64" s="406"/>
      <c r="B64" s="406"/>
      <c r="C64" s="406"/>
      <c r="D64" s="406"/>
      <c r="E64" s="406"/>
      <c r="F64" s="406"/>
      <c r="G64" s="406"/>
      <c r="H64" s="406"/>
      <c r="I64" s="406"/>
      <c r="J64" s="406"/>
      <c r="K64" s="406"/>
      <c r="L64" s="406"/>
    </row>
    <row r="65" spans="1:12">
      <c r="A65" s="406"/>
      <c r="B65" s="406"/>
      <c r="C65" s="406"/>
      <c r="D65" s="406"/>
      <c r="E65" s="406"/>
      <c r="F65" s="406"/>
      <c r="G65" s="406"/>
      <c r="H65" s="406"/>
      <c r="I65" s="406"/>
      <c r="J65" s="406"/>
      <c r="K65" s="406"/>
      <c r="L65" s="406"/>
    </row>
    <row r="66" spans="1:12">
      <c r="A66" s="406"/>
      <c r="B66" s="406"/>
      <c r="C66" s="406"/>
      <c r="D66" s="406"/>
      <c r="E66" s="406"/>
      <c r="F66" s="406"/>
      <c r="G66" s="406"/>
      <c r="H66" s="406"/>
      <c r="I66" s="406"/>
      <c r="J66" s="406"/>
      <c r="K66" s="406"/>
      <c r="L66" s="406"/>
    </row>
    <row r="67" spans="1:12">
      <c r="A67" s="406"/>
      <c r="B67" s="406"/>
      <c r="C67" s="406"/>
      <c r="D67" s="406"/>
      <c r="E67" s="406"/>
      <c r="F67" s="406"/>
      <c r="G67" s="406"/>
      <c r="H67" s="406"/>
      <c r="I67" s="406"/>
      <c r="J67" s="406"/>
      <c r="K67" s="406"/>
      <c r="L67" s="406"/>
    </row>
    <row r="68" spans="1:12">
      <c r="A68" s="406"/>
      <c r="B68" s="406"/>
      <c r="C68" s="406"/>
      <c r="D68" s="406"/>
      <c r="E68" s="406"/>
      <c r="F68" s="406"/>
      <c r="G68" s="406"/>
      <c r="H68" s="406"/>
      <c r="I68" s="406"/>
      <c r="J68" s="406"/>
      <c r="K68" s="406"/>
      <c r="L68" s="406"/>
    </row>
    <row r="69" spans="1:12">
      <c r="A69" s="406"/>
      <c r="B69" s="406"/>
      <c r="C69" s="406"/>
      <c r="D69" s="406"/>
      <c r="E69" s="406"/>
      <c r="F69" s="406"/>
      <c r="G69" s="406"/>
      <c r="H69" s="406"/>
      <c r="I69" s="406"/>
      <c r="J69" s="406"/>
      <c r="K69" s="406"/>
      <c r="L69" s="406"/>
    </row>
    <row r="70" spans="1:12">
      <c r="A70" s="406"/>
      <c r="B70" s="406"/>
      <c r="C70" s="406"/>
      <c r="D70" s="406"/>
      <c r="E70" s="406"/>
      <c r="F70" s="406"/>
      <c r="G70" s="406"/>
      <c r="H70" s="406"/>
      <c r="I70" s="406"/>
      <c r="J70" s="406"/>
      <c r="K70" s="406"/>
      <c r="L70" s="406"/>
    </row>
    <row r="71" spans="1:12">
      <c r="A71" s="406"/>
      <c r="B71" s="406"/>
      <c r="C71" s="406"/>
      <c r="D71" s="406"/>
      <c r="E71" s="406"/>
      <c r="F71" s="406"/>
      <c r="G71" s="406"/>
      <c r="H71" s="406"/>
      <c r="I71" s="406"/>
      <c r="J71" s="406"/>
      <c r="K71" s="406"/>
      <c r="L71" s="406"/>
    </row>
    <row r="72" spans="1:12">
      <c r="A72" s="406"/>
      <c r="B72" s="406"/>
      <c r="C72" s="406"/>
      <c r="D72" s="406"/>
      <c r="E72" s="406"/>
      <c r="F72" s="406"/>
      <c r="G72" s="406"/>
      <c r="H72" s="406"/>
      <c r="I72" s="406"/>
      <c r="J72" s="406"/>
      <c r="K72" s="406"/>
      <c r="L72" s="406"/>
    </row>
    <row r="73" spans="1:12">
      <c r="A73" s="406"/>
      <c r="B73" s="1225" t="s">
        <v>969</v>
      </c>
      <c r="C73" s="1225"/>
      <c r="D73" s="1225"/>
      <c r="E73" s="1225"/>
      <c r="F73" s="1225"/>
      <c r="G73" s="1225"/>
      <c r="H73" s="1225"/>
      <c r="I73" s="1225"/>
      <c r="J73" s="1225"/>
      <c r="K73" s="1225"/>
      <c r="L73" s="406"/>
    </row>
    <row r="74" spans="1:12">
      <c r="A74" s="406"/>
      <c r="B74" s="1225" t="s">
        <v>970</v>
      </c>
      <c r="C74" s="1225"/>
      <c r="D74" s="1225"/>
      <c r="E74" s="1225"/>
      <c r="F74" s="1225"/>
      <c r="G74" s="1225"/>
      <c r="H74" s="1225"/>
      <c r="I74" s="1225"/>
      <c r="J74" s="1225"/>
      <c r="K74" s="1225"/>
      <c r="L74" s="406"/>
    </row>
    <row r="75" spans="1:12">
      <c r="A75" s="406"/>
      <c r="B75" s="1225" t="s">
        <v>1468</v>
      </c>
      <c r="C75" s="1225"/>
      <c r="D75" s="1225"/>
      <c r="E75" s="1225"/>
      <c r="F75" s="1225"/>
      <c r="G75" s="1225"/>
      <c r="H75" s="1225"/>
      <c r="I75" s="1225"/>
      <c r="J75" s="1225"/>
      <c r="K75" s="1225"/>
      <c r="L75" s="406"/>
    </row>
    <row r="76" spans="1:12">
      <c r="A76" s="406"/>
      <c r="B76" s="431"/>
      <c r="C76" s="431"/>
      <c r="D76" s="431"/>
      <c r="E76" s="431"/>
      <c r="F76" s="431"/>
      <c r="G76" s="431"/>
      <c r="H76" s="431"/>
      <c r="I76" s="431"/>
      <c r="J76" s="431"/>
      <c r="K76" s="431"/>
      <c r="L76" s="406"/>
    </row>
    <row r="77" spans="1:12">
      <c r="A77" s="406"/>
      <c r="B77" s="406"/>
      <c r="C77" s="406"/>
      <c r="D77" s="406"/>
      <c r="E77" s="406"/>
      <c r="F77" s="406"/>
      <c r="G77" s="406"/>
      <c r="H77" s="406"/>
      <c r="I77" s="406"/>
      <c r="J77" s="406"/>
      <c r="K77" s="406"/>
      <c r="L77" s="406"/>
    </row>
    <row r="78" spans="1:12">
      <c r="A78" s="406"/>
      <c r="B78" s="406"/>
      <c r="C78" s="406"/>
      <c r="D78" s="406"/>
      <c r="E78" s="406"/>
      <c r="F78" s="406"/>
      <c r="G78" s="406"/>
      <c r="H78" s="406"/>
      <c r="I78" s="406"/>
      <c r="J78" s="406"/>
      <c r="K78" s="406"/>
      <c r="L78" s="406"/>
    </row>
    <row r="79" spans="1:12">
      <c r="A79" s="406"/>
      <c r="B79" s="406"/>
      <c r="C79" s="406"/>
      <c r="D79" s="406"/>
      <c r="E79" s="406"/>
      <c r="F79" s="406"/>
      <c r="G79" s="406"/>
      <c r="H79" s="406"/>
      <c r="I79" s="406"/>
      <c r="J79" s="406"/>
      <c r="K79" s="406"/>
      <c r="L79" s="406"/>
    </row>
    <row r="80" spans="1:12">
      <c r="A80" s="406"/>
      <c r="B80" s="407" t="s">
        <v>971</v>
      </c>
      <c r="C80" s="406"/>
      <c r="D80" s="406"/>
      <c r="E80" s="406"/>
      <c r="F80" s="406"/>
      <c r="G80" s="406"/>
      <c r="H80" s="406"/>
      <c r="I80" s="406"/>
      <c r="J80" s="406"/>
      <c r="K80" s="406"/>
      <c r="L80" s="406"/>
    </row>
    <row r="81" spans="1:12">
      <c r="A81" s="406"/>
      <c r="B81" s="406"/>
      <c r="C81" s="406"/>
      <c r="D81" s="406"/>
      <c r="E81" s="406"/>
      <c r="F81" s="406"/>
      <c r="G81" s="406"/>
      <c r="H81" s="406"/>
      <c r="I81" s="406"/>
      <c r="J81" s="406"/>
      <c r="K81" s="406"/>
      <c r="L81" s="406"/>
    </row>
    <row r="82" spans="1:12">
      <c r="A82" s="406"/>
      <c r="B82" s="426" t="s">
        <v>709</v>
      </c>
      <c r="C82" s="432">
        <v>-15</v>
      </c>
      <c r="D82" s="426" t="s">
        <v>827</v>
      </c>
      <c r="E82" s="426" t="s">
        <v>828</v>
      </c>
      <c r="F82" s="426" t="s">
        <v>829</v>
      </c>
      <c r="G82" s="426" t="s">
        <v>830</v>
      </c>
      <c r="H82" s="426" t="s">
        <v>831</v>
      </c>
      <c r="I82" s="426" t="s">
        <v>832</v>
      </c>
      <c r="J82" s="426" t="s">
        <v>962</v>
      </c>
      <c r="K82" s="426" t="s">
        <v>571</v>
      </c>
      <c r="L82" s="406"/>
    </row>
    <row r="83" spans="1:12">
      <c r="A83" s="406"/>
      <c r="B83" s="433">
        <v>2009</v>
      </c>
      <c r="C83" s="434">
        <v>0.67892503536067894</v>
      </c>
      <c r="D83" s="434">
        <v>18.359264497878357</v>
      </c>
      <c r="E83" s="434">
        <v>26.704384724186703</v>
      </c>
      <c r="F83" s="434">
        <v>23.81895332390382</v>
      </c>
      <c r="G83" s="434">
        <v>17.171145685997171</v>
      </c>
      <c r="H83" s="434">
        <v>10.608203677510609</v>
      </c>
      <c r="I83" s="434">
        <v>2.5742574257425743</v>
      </c>
      <c r="J83" s="434">
        <v>8.4865629420084868E-2</v>
      </c>
      <c r="K83" s="1183">
        <v>100</v>
      </c>
      <c r="L83" s="406"/>
    </row>
    <row r="84" spans="1:12">
      <c r="A84" s="406"/>
      <c r="B84" s="433">
        <v>2010</v>
      </c>
      <c r="C84" s="434">
        <v>0.58370920668612369</v>
      </c>
      <c r="D84" s="434">
        <v>17.32555054391085</v>
      </c>
      <c r="E84" s="434">
        <v>26.691430087556384</v>
      </c>
      <c r="F84" s="434">
        <v>23.4810294507827</v>
      </c>
      <c r="G84" s="434">
        <v>17.750066330591668</v>
      </c>
      <c r="H84" s="434">
        <v>10.427169010347573</v>
      </c>
      <c r="I84" s="434">
        <v>3.5818519501193946</v>
      </c>
      <c r="J84" s="434">
        <v>0.15919342000530645</v>
      </c>
      <c r="K84" s="435">
        <v>100</v>
      </c>
      <c r="L84" s="406"/>
    </row>
    <row r="85" spans="1:12">
      <c r="A85" s="406"/>
      <c r="B85" s="433">
        <v>2011</v>
      </c>
      <c r="C85" s="434">
        <v>0.53633681952266021</v>
      </c>
      <c r="D85" s="434">
        <v>16.304639313488874</v>
      </c>
      <c r="E85" s="434">
        <v>25.98551890587289</v>
      </c>
      <c r="F85" s="434">
        <v>25.046929471708236</v>
      </c>
      <c r="G85" s="434">
        <v>18.423169750603378</v>
      </c>
      <c r="H85" s="434">
        <v>10.458567980691875</v>
      </c>
      <c r="I85" s="434">
        <v>3.110753553231429</v>
      </c>
      <c r="J85" s="434">
        <v>0.13408420488066505</v>
      </c>
      <c r="K85" s="435">
        <v>100.00000000000001</v>
      </c>
      <c r="L85" s="406"/>
    </row>
    <row r="86" spans="1:12">
      <c r="A86" s="406"/>
      <c r="B86" s="433">
        <v>2012</v>
      </c>
      <c r="C86" s="434">
        <v>0.35509423654739142</v>
      </c>
      <c r="D86" s="434">
        <v>17.645452062278068</v>
      </c>
      <c r="E86" s="434">
        <v>25.184375853591916</v>
      </c>
      <c r="F86" s="434">
        <v>23.272329964490577</v>
      </c>
      <c r="G86" s="434">
        <v>18.628789948101613</v>
      </c>
      <c r="H86" s="434">
        <v>11.745424747336793</v>
      </c>
      <c r="I86" s="434">
        <v>3.0319584812892653</v>
      </c>
      <c r="J86" s="434">
        <v>0.13657470636438132</v>
      </c>
      <c r="K86" s="435">
        <v>100.00000000000001</v>
      </c>
      <c r="L86" s="406"/>
    </row>
    <row r="87" spans="1:12">
      <c r="A87" s="406"/>
      <c r="B87" s="433">
        <v>2013</v>
      </c>
      <c r="C87" s="434">
        <v>0.35509423654739142</v>
      </c>
      <c r="D87" s="434">
        <v>17.645452062278068</v>
      </c>
      <c r="E87" s="434">
        <v>25.184375853591916</v>
      </c>
      <c r="F87" s="434">
        <v>23.272329964490577</v>
      </c>
      <c r="G87" s="434">
        <v>18.628789948101613</v>
      </c>
      <c r="H87" s="434">
        <v>11.745424747336793</v>
      </c>
      <c r="I87" s="434">
        <v>3.0319584812892653</v>
      </c>
      <c r="J87" s="434">
        <v>0.13657470636438132</v>
      </c>
      <c r="K87" s="435">
        <v>100.00000000000001</v>
      </c>
      <c r="L87" s="406"/>
    </row>
    <row r="88" spans="1:12">
      <c r="A88" s="406"/>
      <c r="B88" s="436">
        <v>2014</v>
      </c>
      <c r="C88" s="437">
        <f t="shared" ref="C88:J88" si="4">+C50/$K50*100</f>
        <v>0.26371308016877637</v>
      </c>
      <c r="D88" s="437">
        <f t="shared" si="4"/>
        <v>14.978902953586498</v>
      </c>
      <c r="E88" s="437">
        <f t="shared" si="4"/>
        <v>26.292194092827003</v>
      </c>
      <c r="F88" s="437">
        <f t="shared" si="4"/>
        <v>24.894514767932492</v>
      </c>
      <c r="G88" s="437">
        <f t="shared" si="4"/>
        <v>19.831223628691983</v>
      </c>
      <c r="H88" s="437">
        <f t="shared" si="4"/>
        <v>10.548523206751055</v>
      </c>
      <c r="I88" s="437">
        <f t="shared" si="4"/>
        <v>2.9272151898734178</v>
      </c>
      <c r="J88" s="437">
        <f t="shared" si="4"/>
        <v>0.26371308016877637</v>
      </c>
      <c r="K88" s="395">
        <f>SUM(C88:J88)</f>
        <v>100</v>
      </c>
      <c r="L88" s="406"/>
    </row>
    <row r="89" spans="1:12">
      <c r="A89" s="406"/>
      <c r="B89" s="406"/>
      <c r="C89" s="406"/>
      <c r="D89" s="406"/>
      <c r="E89" s="406"/>
      <c r="F89" s="406"/>
      <c r="G89" s="406"/>
      <c r="H89" s="406"/>
      <c r="I89" s="406"/>
      <c r="J89" s="406"/>
      <c r="K89" s="406"/>
      <c r="L89" s="406"/>
    </row>
    <row r="90" spans="1:12">
      <c r="A90" s="406"/>
      <c r="B90" s="406"/>
      <c r="C90" s="406"/>
      <c r="D90" s="406"/>
      <c r="E90" s="406"/>
      <c r="F90" s="406"/>
      <c r="G90" s="406"/>
      <c r="H90" s="406"/>
      <c r="I90" s="406"/>
      <c r="J90" s="406"/>
      <c r="K90" s="406"/>
      <c r="L90" s="406"/>
    </row>
    <row r="91" spans="1:12">
      <c r="A91" s="406"/>
      <c r="B91" s="407" t="s">
        <v>972</v>
      </c>
      <c r="C91" s="406"/>
      <c r="D91" s="406"/>
      <c r="E91" s="406"/>
      <c r="F91" s="406"/>
      <c r="G91" s="406"/>
      <c r="H91" s="406"/>
      <c r="I91" s="406"/>
      <c r="J91" s="406"/>
      <c r="K91" s="406"/>
      <c r="L91" s="406"/>
    </row>
    <row r="92" spans="1:12">
      <c r="A92" s="406"/>
      <c r="B92" s="406"/>
      <c r="C92" s="406"/>
      <c r="D92" s="406"/>
      <c r="E92" s="406"/>
      <c r="F92" s="406"/>
      <c r="G92" s="406"/>
      <c r="H92" s="406"/>
      <c r="I92" s="406"/>
      <c r="J92" s="406"/>
      <c r="K92" s="406"/>
      <c r="L92" s="406"/>
    </row>
    <row r="93" spans="1:12">
      <c r="A93" s="406"/>
      <c r="B93" s="426" t="s">
        <v>709</v>
      </c>
      <c r="C93" s="426">
        <v>-15</v>
      </c>
      <c r="D93" s="426" t="s">
        <v>827</v>
      </c>
      <c r="E93" s="426" t="s">
        <v>828</v>
      </c>
      <c r="F93" s="426" t="s">
        <v>829</v>
      </c>
      <c r="G93" s="426" t="s">
        <v>830</v>
      </c>
      <c r="H93" s="426" t="s">
        <v>831</v>
      </c>
      <c r="I93" s="426" t="s">
        <v>832</v>
      </c>
      <c r="J93" s="426" t="s">
        <v>962</v>
      </c>
      <c r="K93" s="426" t="s">
        <v>571</v>
      </c>
      <c r="L93" s="406"/>
    </row>
    <row r="94" spans="1:12">
      <c r="A94" s="406"/>
      <c r="B94" s="433">
        <f t="shared" ref="B94:B99" si="5">+B83</f>
        <v>2009</v>
      </c>
      <c r="C94" s="434">
        <v>0.80862533692722371</v>
      </c>
      <c r="D94" s="434">
        <v>12.668463611859837</v>
      </c>
      <c r="E94" s="434">
        <v>21.293800539083556</v>
      </c>
      <c r="F94" s="434">
        <v>21.832884097035041</v>
      </c>
      <c r="G94" s="434">
        <v>16.711590296495956</v>
      </c>
      <c r="H94" s="434">
        <v>17.78975741239892</v>
      </c>
      <c r="I94" s="434">
        <v>8.0862533692722369</v>
      </c>
      <c r="J94" s="434">
        <v>0.80862533692722371</v>
      </c>
      <c r="K94" s="1183">
        <v>100</v>
      </c>
      <c r="L94" s="406"/>
    </row>
    <row r="95" spans="1:12">
      <c r="A95" s="406"/>
      <c r="B95" s="433">
        <f t="shared" si="5"/>
        <v>2010</v>
      </c>
      <c r="C95" s="434">
        <v>0</v>
      </c>
      <c r="D95" s="434">
        <v>12.5</v>
      </c>
      <c r="E95" s="434">
        <v>17.1875</v>
      </c>
      <c r="F95" s="434">
        <v>20.3125</v>
      </c>
      <c r="G95" s="434">
        <v>19.0625</v>
      </c>
      <c r="H95" s="434">
        <v>19.6875</v>
      </c>
      <c r="I95" s="434">
        <v>8.75</v>
      </c>
      <c r="J95" s="434">
        <v>2.5</v>
      </c>
      <c r="K95" s="435">
        <v>100</v>
      </c>
      <c r="L95" s="406"/>
    </row>
    <row r="96" spans="1:12">
      <c r="A96" s="406"/>
      <c r="B96" s="433">
        <f t="shared" si="5"/>
        <v>2011</v>
      </c>
      <c r="C96" s="434">
        <v>0.84745762711864403</v>
      </c>
      <c r="D96" s="434">
        <v>15.819209039548024</v>
      </c>
      <c r="E96" s="434">
        <v>23.728813559322035</v>
      </c>
      <c r="F96" s="434">
        <v>17.231638418079097</v>
      </c>
      <c r="G96" s="434">
        <v>16.101694915254235</v>
      </c>
      <c r="H96" s="434">
        <v>16.949152542372879</v>
      </c>
      <c r="I96" s="434">
        <v>8.1920903954802249</v>
      </c>
      <c r="J96" s="434">
        <v>1.1299435028248588</v>
      </c>
      <c r="K96" s="435">
        <v>100</v>
      </c>
      <c r="L96" s="406"/>
    </row>
    <row r="97" spans="1:12">
      <c r="A97" s="406"/>
      <c r="B97" s="433">
        <f t="shared" si="5"/>
        <v>2012</v>
      </c>
      <c r="C97" s="434">
        <v>0.91743119266055051</v>
      </c>
      <c r="D97" s="434">
        <v>7.951070336391437</v>
      </c>
      <c r="E97" s="434">
        <v>21.712538226299692</v>
      </c>
      <c r="F97" s="434">
        <v>21.100917431192663</v>
      </c>
      <c r="G97" s="434">
        <v>20.795107033639145</v>
      </c>
      <c r="H97" s="434">
        <v>17.431192660550458</v>
      </c>
      <c r="I97" s="434">
        <v>9.1743119266055047</v>
      </c>
      <c r="J97" s="434">
        <v>0.91743119266055051</v>
      </c>
      <c r="K97" s="435">
        <v>99.999999999999986</v>
      </c>
      <c r="L97" s="406"/>
    </row>
    <row r="98" spans="1:12">
      <c r="A98" s="406"/>
      <c r="B98" s="433">
        <f t="shared" si="5"/>
        <v>2013</v>
      </c>
      <c r="C98" s="434">
        <v>0.91743119266055051</v>
      </c>
      <c r="D98" s="434">
        <v>7.951070336391437</v>
      </c>
      <c r="E98" s="434">
        <v>21.712538226299692</v>
      </c>
      <c r="F98" s="434">
        <v>21.100917431192663</v>
      </c>
      <c r="G98" s="434">
        <v>20.795107033639145</v>
      </c>
      <c r="H98" s="434">
        <v>17.431192660550458</v>
      </c>
      <c r="I98" s="434">
        <v>9.1743119266055047</v>
      </c>
      <c r="J98" s="434">
        <v>0.91743119266055051</v>
      </c>
      <c r="K98" s="435">
        <v>99.999999999999986</v>
      </c>
      <c r="L98" s="406"/>
    </row>
    <row r="99" spans="1:12">
      <c r="A99" s="406"/>
      <c r="B99" s="436">
        <f t="shared" si="5"/>
        <v>2014</v>
      </c>
      <c r="C99" s="437">
        <f t="shared" ref="C99:J99" si="6">+C60/$K60*100</f>
        <v>0.28901734104046239</v>
      </c>
      <c r="D99" s="437">
        <f t="shared" si="6"/>
        <v>9.2485549132947966</v>
      </c>
      <c r="E99" s="437">
        <f t="shared" si="6"/>
        <v>20.23121387283237</v>
      </c>
      <c r="F99" s="437">
        <f t="shared" si="6"/>
        <v>22.254335260115607</v>
      </c>
      <c r="G99" s="437">
        <f t="shared" si="6"/>
        <v>23.410404624277454</v>
      </c>
      <c r="H99" s="437">
        <f t="shared" si="6"/>
        <v>14.450867052023122</v>
      </c>
      <c r="I99" s="437">
        <f t="shared" si="6"/>
        <v>8.6705202312138727</v>
      </c>
      <c r="J99" s="437">
        <f t="shared" si="6"/>
        <v>1.4450867052023122</v>
      </c>
      <c r="K99" s="395">
        <f>SUM(C99:J99)</f>
        <v>100.00000000000001</v>
      </c>
      <c r="L99" s="406"/>
    </row>
    <row r="100" spans="1:12">
      <c r="A100" s="406"/>
      <c r="B100" s="438"/>
      <c r="C100" s="434"/>
      <c r="D100" s="434"/>
      <c r="E100" s="434"/>
      <c r="F100" s="434"/>
      <c r="G100" s="434"/>
      <c r="H100" s="434"/>
      <c r="I100" s="434"/>
      <c r="J100" s="434"/>
      <c r="K100" s="438"/>
      <c r="L100" s="406"/>
    </row>
    <row r="101" spans="1:12">
      <c r="A101" s="406"/>
      <c r="B101" s="406"/>
      <c r="C101" s="406"/>
      <c r="D101" s="406"/>
      <c r="E101" s="406"/>
      <c r="F101" s="406"/>
      <c r="G101" s="406"/>
      <c r="H101" s="406"/>
      <c r="I101" s="406"/>
      <c r="J101" s="406"/>
      <c r="K101" s="406"/>
      <c r="L101" s="406"/>
    </row>
    <row r="102" spans="1:12">
      <c r="A102" s="406"/>
      <c r="B102" s="406"/>
      <c r="C102" s="406"/>
      <c r="D102" s="406"/>
      <c r="E102" s="406"/>
      <c r="F102" s="406"/>
      <c r="G102" s="406"/>
      <c r="H102" s="406"/>
      <c r="I102" s="406"/>
      <c r="J102" s="406"/>
      <c r="K102" s="406"/>
      <c r="L102" s="406"/>
    </row>
    <row r="103" spans="1:12">
      <c r="A103" s="406"/>
      <c r="B103" s="406"/>
      <c r="C103" s="406"/>
      <c r="D103" s="406"/>
      <c r="E103" s="406"/>
      <c r="F103" s="406"/>
      <c r="G103" s="406"/>
      <c r="H103" s="406"/>
      <c r="I103" s="406"/>
      <c r="J103" s="406"/>
      <c r="K103" s="406"/>
      <c r="L103" s="406"/>
    </row>
    <row r="104" spans="1:12">
      <c r="A104" s="406"/>
      <c r="B104" s="406"/>
      <c r="C104" s="406"/>
      <c r="D104" s="406"/>
      <c r="E104" s="406"/>
      <c r="F104" s="406"/>
      <c r="G104" s="406"/>
      <c r="H104" s="406"/>
      <c r="I104" s="406"/>
      <c r="J104" s="406"/>
      <c r="K104" s="406"/>
      <c r="L104" s="406"/>
    </row>
    <row r="105" spans="1:12">
      <c r="A105" s="406"/>
      <c r="B105" s="406"/>
      <c r="C105" s="406"/>
      <c r="D105" s="406"/>
      <c r="E105" s="406"/>
      <c r="F105" s="406"/>
      <c r="G105" s="406"/>
      <c r="H105" s="406"/>
      <c r="I105" s="406"/>
      <c r="J105" s="406"/>
      <c r="K105" s="406"/>
      <c r="L105" s="406"/>
    </row>
    <row r="106" spans="1:12">
      <c r="A106" s="406"/>
      <c r="B106" s="406"/>
      <c r="C106" s="406"/>
      <c r="D106" s="406"/>
      <c r="E106" s="406"/>
      <c r="F106" s="406"/>
      <c r="G106" s="406"/>
      <c r="H106" s="406"/>
      <c r="I106" s="406"/>
      <c r="J106" s="406"/>
      <c r="K106" s="406"/>
      <c r="L106" s="406"/>
    </row>
    <row r="107" spans="1:12">
      <c r="A107" s="406"/>
      <c r="B107" s="406"/>
      <c r="C107" s="406"/>
      <c r="D107" s="406"/>
      <c r="E107" s="406"/>
      <c r="F107" s="406"/>
      <c r="G107" s="406"/>
      <c r="H107" s="406"/>
      <c r="I107" s="406"/>
      <c r="J107" s="406"/>
      <c r="K107" s="406"/>
      <c r="L107" s="406"/>
    </row>
    <row r="108" spans="1:12">
      <c r="A108" s="406"/>
      <c r="B108" s="406"/>
      <c r="C108" s="406"/>
      <c r="D108" s="406"/>
      <c r="E108" s="406"/>
      <c r="F108" s="406"/>
      <c r="G108" s="406"/>
      <c r="H108" s="406"/>
      <c r="I108" s="406"/>
      <c r="J108" s="406"/>
      <c r="K108" s="406"/>
      <c r="L108" s="406"/>
    </row>
    <row r="109" spans="1:12">
      <c r="A109" s="406"/>
      <c r="B109" s="406"/>
      <c r="C109" s="406"/>
      <c r="D109" s="406"/>
      <c r="E109" s="406"/>
      <c r="F109" s="406"/>
      <c r="G109" s="406"/>
      <c r="H109" s="406"/>
      <c r="I109" s="406"/>
      <c r="J109" s="406"/>
      <c r="K109" s="406"/>
      <c r="L109" s="406"/>
    </row>
    <row r="110" spans="1:12">
      <c r="A110" s="406"/>
      <c r="B110" s="406"/>
      <c r="C110" s="406"/>
      <c r="D110" s="406"/>
      <c r="E110" s="406"/>
      <c r="F110" s="406"/>
      <c r="G110" s="406"/>
      <c r="H110" s="406"/>
      <c r="I110" s="406"/>
      <c r="J110" s="406"/>
      <c r="K110" s="406"/>
      <c r="L110" s="406"/>
    </row>
    <row r="111" spans="1:12">
      <c r="A111" s="406"/>
      <c r="B111" s="406"/>
      <c r="C111" s="406"/>
      <c r="D111" s="406"/>
      <c r="E111" s="406"/>
      <c r="F111" s="406"/>
      <c r="G111" s="406"/>
      <c r="H111" s="406"/>
      <c r="I111" s="406"/>
      <c r="J111" s="406"/>
      <c r="K111" s="406"/>
      <c r="L111" s="406"/>
    </row>
    <row r="112" spans="1:12">
      <c r="A112" s="406"/>
      <c r="B112" s="406"/>
      <c r="C112" s="406"/>
      <c r="D112" s="406"/>
      <c r="E112" s="406"/>
      <c r="F112" s="406"/>
      <c r="G112" s="406"/>
      <c r="H112" s="406"/>
      <c r="I112" s="406"/>
      <c r="J112" s="406"/>
      <c r="K112" s="406"/>
      <c r="L112" s="406"/>
    </row>
    <row r="113" spans="1:12">
      <c r="A113" s="406"/>
      <c r="B113" s="406"/>
      <c r="C113" s="406"/>
      <c r="D113" s="406"/>
      <c r="E113" s="406"/>
      <c r="F113" s="406"/>
      <c r="G113" s="406"/>
      <c r="H113" s="406"/>
      <c r="I113" s="406"/>
      <c r="J113" s="406"/>
      <c r="K113" s="406"/>
      <c r="L113" s="406"/>
    </row>
    <row r="114" spans="1:12">
      <c r="A114" s="406"/>
      <c r="B114" s="406"/>
      <c r="C114" s="406"/>
      <c r="D114" s="406"/>
      <c r="E114" s="406"/>
      <c r="F114" s="406"/>
      <c r="G114" s="406"/>
      <c r="H114" s="406"/>
      <c r="I114" s="406"/>
      <c r="J114" s="406"/>
      <c r="K114" s="406"/>
      <c r="L114" s="406"/>
    </row>
    <row r="115" spans="1:12">
      <c r="A115" s="406"/>
      <c r="B115" s="406"/>
      <c r="C115" s="406"/>
      <c r="D115" s="406"/>
      <c r="E115" s="406"/>
      <c r="F115" s="406"/>
      <c r="G115" s="406"/>
      <c r="H115" s="406"/>
      <c r="I115" s="406"/>
      <c r="J115" s="406"/>
      <c r="K115" s="406"/>
      <c r="L115" s="406"/>
    </row>
    <row r="116" spans="1:12">
      <c r="A116" s="406"/>
      <c r="B116" s="406"/>
      <c r="C116" s="406"/>
      <c r="D116" s="406"/>
      <c r="E116" s="406"/>
      <c r="F116" s="406"/>
      <c r="G116" s="406"/>
      <c r="H116" s="406"/>
      <c r="I116" s="406"/>
      <c r="J116" s="406"/>
      <c r="K116" s="406"/>
      <c r="L116" s="406"/>
    </row>
    <row r="117" spans="1:12">
      <c r="A117" s="406"/>
      <c r="B117" s="406"/>
      <c r="C117" s="406"/>
      <c r="D117" s="406"/>
      <c r="E117" s="406"/>
      <c r="F117" s="406"/>
      <c r="G117" s="406"/>
      <c r="H117" s="406"/>
      <c r="I117" s="406"/>
      <c r="J117" s="406"/>
      <c r="K117" s="406"/>
      <c r="L117" s="406"/>
    </row>
    <row r="118" spans="1:12">
      <c r="A118" s="406"/>
      <c r="B118" s="406"/>
      <c r="C118" s="406"/>
      <c r="D118" s="406"/>
      <c r="E118" s="406"/>
      <c r="F118" s="406"/>
      <c r="G118" s="406"/>
      <c r="H118" s="406"/>
      <c r="I118" s="406"/>
      <c r="J118" s="406"/>
      <c r="K118" s="406"/>
      <c r="L118" s="406"/>
    </row>
    <row r="119" spans="1:12">
      <c r="A119" s="406"/>
      <c r="B119" s="406"/>
      <c r="C119" s="406"/>
      <c r="D119" s="406"/>
      <c r="E119" s="406"/>
      <c r="F119" s="406"/>
      <c r="G119" s="406"/>
      <c r="H119" s="406"/>
      <c r="I119" s="406"/>
      <c r="J119" s="406"/>
      <c r="K119" s="406"/>
      <c r="L119" s="406"/>
    </row>
    <row r="120" spans="1:12">
      <c r="A120" s="406"/>
      <c r="B120" s="406"/>
      <c r="C120" s="406"/>
      <c r="D120" s="406"/>
      <c r="E120" s="406"/>
      <c r="F120" s="406"/>
      <c r="G120" s="406"/>
      <c r="H120" s="406"/>
      <c r="I120" s="406"/>
      <c r="J120" s="406"/>
      <c r="K120" s="406"/>
      <c r="L120" s="406"/>
    </row>
    <row r="121" spans="1:12">
      <c r="A121" s="406"/>
      <c r="B121" s="406"/>
      <c r="C121" s="406"/>
      <c r="D121" s="406"/>
      <c r="E121" s="406"/>
      <c r="F121" s="406"/>
      <c r="G121" s="406"/>
      <c r="H121" s="406"/>
      <c r="I121" s="406"/>
      <c r="J121" s="406"/>
      <c r="K121" s="406"/>
      <c r="L121" s="406"/>
    </row>
    <row r="122" spans="1:12">
      <c r="A122" s="406"/>
      <c r="B122" s="406"/>
      <c r="C122" s="406"/>
      <c r="D122" s="406"/>
      <c r="E122" s="406"/>
      <c r="F122" s="406"/>
      <c r="G122" s="406"/>
      <c r="H122" s="406"/>
      <c r="I122" s="406"/>
      <c r="J122" s="406"/>
      <c r="K122" s="406"/>
      <c r="L122" s="406"/>
    </row>
    <row r="123" spans="1:12">
      <c r="A123" s="406"/>
      <c r="B123" s="406"/>
      <c r="C123" s="406"/>
      <c r="D123" s="406"/>
      <c r="E123" s="406"/>
      <c r="F123" s="406"/>
      <c r="G123" s="406"/>
      <c r="H123" s="406"/>
      <c r="I123" s="406"/>
      <c r="J123" s="406"/>
      <c r="K123" s="406"/>
      <c r="L123" s="406"/>
    </row>
    <row r="124" spans="1:12">
      <c r="A124" s="406"/>
      <c r="B124" s="406"/>
      <c r="C124" s="406"/>
      <c r="D124" s="406"/>
      <c r="E124" s="406"/>
      <c r="F124" s="406"/>
      <c r="G124" s="406"/>
      <c r="H124" s="406"/>
      <c r="I124" s="406"/>
      <c r="J124" s="406"/>
      <c r="K124" s="406"/>
      <c r="L124" s="406"/>
    </row>
    <row r="125" spans="1:12">
      <c r="A125" s="406"/>
      <c r="B125" s="406"/>
      <c r="C125" s="406"/>
      <c r="D125" s="406"/>
      <c r="E125" s="406"/>
      <c r="F125" s="406"/>
      <c r="G125" s="406"/>
      <c r="H125" s="406"/>
      <c r="I125" s="406"/>
      <c r="J125" s="406"/>
      <c r="K125" s="406"/>
      <c r="L125" s="406"/>
    </row>
    <row r="126" spans="1:12">
      <c r="A126" s="406"/>
      <c r="B126" s="406"/>
      <c r="C126" s="406"/>
      <c r="D126" s="406"/>
      <c r="E126" s="406"/>
      <c r="F126" s="406"/>
      <c r="G126" s="406"/>
      <c r="H126" s="406"/>
      <c r="I126" s="406"/>
      <c r="J126" s="406"/>
      <c r="K126" s="406"/>
      <c r="L126" s="406"/>
    </row>
    <row r="127" spans="1:12">
      <c r="A127" s="406"/>
      <c r="B127" s="406"/>
      <c r="C127" s="406"/>
      <c r="D127" s="406"/>
      <c r="E127" s="406"/>
      <c r="F127" s="406"/>
      <c r="G127" s="406"/>
      <c r="H127" s="406"/>
      <c r="I127" s="406"/>
      <c r="J127" s="406"/>
      <c r="K127" s="406"/>
      <c r="L127" s="406"/>
    </row>
    <row r="128" spans="1:12">
      <c r="A128" s="406"/>
      <c r="B128" s="406"/>
      <c r="C128" s="406"/>
      <c r="D128" s="406"/>
      <c r="E128" s="406"/>
      <c r="F128" s="406"/>
      <c r="G128" s="406"/>
      <c r="H128" s="406"/>
      <c r="I128" s="406"/>
      <c r="J128" s="406"/>
      <c r="K128" s="406"/>
      <c r="L128" s="406"/>
    </row>
    <row r="129" spans="1:12">
      <c r="A129" s="406"/>
      <c r="B129" s="406"/>
      <c r="C129" s="406"/>
      <c r="D129" s="406"/>
      <c r="E129" s="406"/>
      <c r="F129" s="406"/>
      <c r="G129" s="406"/>
      <c r="H129" s="406"/>
      <c r="I129" s="406"/>
      <c r="J129" s="406"/>
      <c r="K129" s="406"/>
      <c r="L129" s="406"/>
    </row>
    <row r="130" spans="1:12">
      <c r="A130" s="406"/>
      <c r="B130" s="406"/>
      <c r="C130" s="406"/>
      <c r="D130" s="406"/>
      <c r="E130" s="406"/>
      <c r="F130" s="406"/>
      <c r="G130" s="406"/>
      <c r="H130" s="406"/>
      <c r="I130" s="406"/>
      <c r="J130" s="406"/>
      <c r="K130" s="406"/>
      <c r="L130" s="406"/>
    </row>
    <row r="131" spans="1:12">
      <c r="A131" s="406"/>
      <c r="B131" s="406"/>
      <c r="C131" s="406"/>
      <c r="D131" s="406"/>
      <c r="E131" s="406"/>
      <c r="F131" s="406"/>
      <c r="G131" s="406"/>
      <c r="H131" s="406"/>
      <c r="I131" s="406"/>
      <c r="J131" s="406"/>
      <c r="K131" s="406"/>
      <c r="L131" s="406"/>
    </row>
    <row r="132" spans="1:12">
      <c r="A132" s="406"/>
      <c r="B132" s="406"/>
      <c r="C132" s="406"/>
      <c r="D132" s="406"/>
      <c r="E132" s="406"/>
      <c r="F132" s="406"/>
      <c r="G132" s="406"/>
      <c r="H132" s="406"/>
      <c r="I132" s="406"/>
      <c r="J132" s="406"/>
      <c r="K132" s="406"/>
      <c r="L132" s="406"/>
    </row>
    <row r="133" spans="1:12">
      <c r="A133" s="406"/>
      <c r="B133" s="406"/>
      <c r="C133" s="406"/>
      <c r="D133" s="406"/>
      <c r="E133" s="406"/>
      <c r="F133" s="406"/>
      <c r="G133" s="406"/>
      <c r="H133" s="406"/>
      <c r="I133" s="406"/>
      <c r="J133" s="406"/>
      <c r="K133" s="406"/>
      <c r="L133" s="406"/>
    </row>
    <row r="134" spans="1:12">
      <c r="A134" s="406"/>
      <c r="B134" s="406"/>
      <c r="C134" s="406"/>
      <c r="D134" s="406"/>
      <c r="E134" s="406"/>
      <c r="F134" s="406"/>
      <c r="G134" s="406"/>
      <c r="H134" s="406"/>
      <c r="I134" s="406"/>
      <c r="J134" s="406"/>
      <c r="K134" s="406"/>
      <c r="L134" s="406"/>
    </row>
    <row r="135" spans="1:12">
      <c r="A135" s="406"/>
      <c r="B135" s="406"/>
      <c r="C135" s="406"/>
      <c r="D135" s="406"/>
      <c r="E135" s="406"/>
      <c r="F135" s="406"/>
      <c r="G135" s="406"/>
      <c r="H135" s="406"/>
      <c r="I135" s="406"/>
      <c r="J135" s="406"/>
      <c r="K135" s="406"/>
      <c r="L135" s="406"/>
    </row>
    <row r="136" spans="1:12">
      <c r="A136" s="406"/>
      <c r="B136" s="406"/>
      <c r="C136" s="406"/>
      <c r="D136" s="406"/>
      <c r="E136" s="406"/>
      <c r="F136" s="406"/>
      <c r="G136" s="406"/>
      <c r="H136" s="406"/>
      <c r="I136" s="406"/>
      <c r="J136" s="406"/>
      <c r="K136" s="406"/>
      <c r="L136" s="406"/>
    </row>
    <row r="137" spans="1:12">
      <c r="A137" s="406"/>
      <c r="B137" s="406"/>
      <c r="C137" s="406"/>
      <c r="D137" s="406"/>
      <c r="E137" s="406"/>
      <c r="F137" s="406"/>
      <c r="G137" s="406"/>
      <c r="H137" s="406"/>
      <c r="I137" s="406"/>
      <c r="J137" s="406"/>
      <c r="K137" s="406"/>
      <c r="L137" s="406"/>
    </row>
    <row r="138" spans="1:12">
      <c r="A138" s="406"/>
      <c r="B138" s="406"/>
      <c r="C138" s="406"/>
      <c r="D138" s="406"/>
      <c r="E138" s="406"/>
      <c r="F138" s="406"/>
      <c r="G138" s="406"/>
      <c r="H138" s="406"/>
      <c r="I138" s="406"/>
      <c r="J138" s="406"/>
      <c r="K138" s="406"/>
      <c r="L138" s="406"/>
    </row>
    <row r="139" spans="1:12">
      <c r="A139" s="406"/>
      <c r="B139" s="406"/>
      <c r="C139" s="406"/>
      <c r="D139" s="406"/>
      <c r="E139" s="406"/>
      <c r="F139" s="406"/>
      <c r="G139" s="406"/>
      <c r="H139" s="406"/>
      <c r="I139" s="406"/>
      <c r="J139" s="406"/>
      <c r="K139" s="406"/>
      <c r="L139" s="406"/>
    </row>
    <row r="140" spans="1:12">
      <c r="A140" s="406"/>
      <c r="B140" s="406"/>
      <c r="C140" s="406"/>
      <c r="D140" s="406"/>
      <c r="E140" s="406"/>
      <c r="F140" s="406"/>
      <c r="G140" s="406"/>
      <c r="H140" s="406"/>
      <c r="I140" s="406"/>
      <c r="J140" s="406"/>
      <c r="K140" s="406"/>
      <c r="L140" s="406"/>
    </row>
    <row r="141" spans="1:12">
      <c r="A141" s="406"/>
      <c r="B141" s="406"/>
      <c r="C141" s="406"/>
      <c r="D141" s="406"/>
      <c r="E141" s="406"/>
      <c r="F141" s="406"/>
      <c r="G141" s="406"/>
      <c r="H141" s="406"/>
      <c r="I141" s="406"/>
      <c r="J141" s="406"/>
      <c r="K141" s="406"/>
      <c r="L141" s="406"/>
    </row>
    <row r="142" spans="1:12">
      <c r="A142" s="406"/>
      <c r="B142" s="406"/>
      <c r="C142" s="406"/>
      <c r="D142" s="406"/>
      <c r="E142" s="406"/>
      <c r="F142" s="406"/>
      <c r="G142" s="406"/>
      <c r="H142" s="406"/>
      <c r="I142" s="406"/>
      <c r="J142" s="406"/>
      <c r="K142" s="406"/>
      <c r="L142" s="406"/>
    </row>
    <row r="143" spans="1:12">
      <c r="A143" s="406"/>
      <c r="B143" s="406"/>
      <c r="C143" s="406"/>
      <c r="D143" s="406"/>
      <c r="E143" s="406"/>
      <c r="F143" s="406"/>
      <c r="G143" s="406"/>
      <c r="H143" s="406"/>
      <c r="I143" s="406"/>
      <c r="J143" s="406"/>
      <c r="K143" s="406"/>
      <c r="L143" s="406"/>
    </row>
    <row r="144" spans="1:12">
      <c r="A144" s="406"/>
      <c r="B144" s="406"/>
      <c r="C144" s="406"/>
      <c r="D144" s="406"/>
      <c r="E144" s="406"/>
      <c r="F144" s="406"/>
      <c r="G144" s="406"/>
      <c r="H144" s="406"/>
      <c r="I144" s="406"/>
      <c r="J144" s="406"/>
      <c r="K144" s="406"/>
      <c r="L144" s="406"/>
    </row>
    <row r="145" spans="1:12">
      <c r="A145" s="406"/>
      <c r="B145" s="406"/>
      <c r="C145" s="406"/>
      <c r="D145" s="406"/>
      <c r="E145" s="406"/>
      <c r="F145" s="406"/>
      <c r="G145" s="406"/>
      <c r="H145" s="406"/>
      <c r="I145" s="406"/>
      <c r="J145" s="406"/>
      <c r="K145" s="406"/>
      <c r="L145" s="406"/>
    </row>
    <row r="146" spans="1:12">
      <c r="A146" s="406"/>
      <c r="B146" s="406"/>
      <c r="C146" s="406"/>
      <c r="D146" s="406"/>
      <c r="E146" s="406"/>
      <c r="F146" s="406"/>
      <c r="G146" s="406"/>
      <c r="H146" s="406"/>
      <c r="I146" s="406"/>
      <c r="J146" s="406"/>
      <c r="K146" s="406"/>
      <c r="L146" s="406"/>
    </row>
    <row r="147" spans="1:12">
      <c r="A147" s="406"/>
      <c r="B147" s="406"/>
      <c r="C147" s="406"/>
      <c r="D147" s="406"/>
      <c r="E147" s="406"/>
      <c r="F147" s="406"/>
      <c r="G147" s="406"/>
      <c r="H147" s="406"/>
      <c r="I147" s="406"/>
      <c r="J147" s="406"/>
      <c r="K147" s="406"/>
      <c r="L147" s="406"/>
    </row>
  </sheetData>
  <mergeCells count="14">
    <mergeCell ref="A1:L1"/>
    <mergeCell ref="A2:L2"/>
    <mergeCell ref="A3:L3"/>
    <mergeCell ref="C8:K8"/>
    <mergeCell ref="B75:K75"/>
    <mergeCell ref="A9:B9"/>
    <mergeCell ref="A10:B10"/>
    <mergeCell ref="B73:K73"/>
    <mergeCell ref="B74:K74"/>
    <mergeCell ref="K9:L9"/>
    <mergeCell ref="I9:J9"/>
    <mergeCell ref="G9:H9"/>
    <mergeCell ref="E9:F9"/>
    <mergeCell ref="C9:D9"/>
  </mergeCells>
  <phoneticPr fontId="19" type="noConversion"/>
  <pageMargins left="0.59055118110236227" right="0.59055118110236227" top="1.1811023622047245" bottom="0.98425196850393704" header="0.51181102362204722" footer="0"/>
  <pageSetup paperSize="5" scale="95" orientation="portrait" horizontalDpi="300" verticalDpi="300" r:id="rId1"/>
  <headerFooter alignWithMargins="0">
    <oddHeader xml:space="preserve">&amp;R
</oddHeader>
  </headerFooter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38"/>
  <sheetViews>
    <sheetView topLeftCell="A20" workbookViewId="0">
      <selection activeCell="R11" sqref="R11"/>
    </sheetView>
  </sheetViews>
  <sheetFormatPr baseColWidth="10" defaultRowHeight="12.75"/>
  <cols>
    <col min="1" max="1" width="19.7109375" customWidth="1"/>
    <col min="2" max="11" width="6.5703125" style="243" customWidth="1"/>
    <col min="13" max="13" width="17.7109375" customWidth="1"/>
    <col min="14" max="18" width="7.85546875" customWidth="1"/>
  </cols>
  <sheetData>
    <row r="1" spans="1:18" ht="24" customHeight="1">
      <c r="A1" s="1232" t="s">
        <v>973</v>
      </c>
      <c r="B1" s="1211"/>
      <c r="C1" s="1211"/>
      <c r="D1" s="1211"/>
      <c r="E1" s="1211"/>
      <c r="F1" s="1211"/>
      <c r="G1" s="1211"/>
      <c r="H1" s="1211"/>
      <c r="I1" s="1211"/>
      <c r="J1" s="1211"/>
      <c r="K1" s="1211"/>
    </row>
    <row r="2" spans="1:18">
      <c r="A2" s="1211" t="s">
        <v>970</v>
      </c>
      <c r="B2" s="1211"/>
      <c r="C2" s="1211"/>
      <c r="D2" s="1211"/>
      <c r="E2" s="1211"/>
      <c r="F2" s="1211"/>
      <c r="G2" s="1211"/>
      <c r="H2" s="1211"/>
      <c r="I2" s="1211"/>
      <c r="J2" s="1211"/>
      <c r="K2" s="1211"/>
      <c r="M2" s="439" t="s">
        <v>974</v>
      </c>
    </row>
    <row r="3" spans="1:18">
      <c r="M3" s="439" t="s">
        <v>926</v>
      </c>
      <c r="N3">
        <v>2010</v>
      </c>
      <c r="O3">
        <v>2011</v>
      </c>
      <c r="P3">
        <v>2012</v>
      </c>
      <c r="Q3">
        <v>2013</v>
      </c>
      <c r="R3">
        <v>2014</v>
      </c>
    </row>
    <row r="4" spans="1:18">
      <c r="M4" s="439" t="s">
        <v>975</v>
      </c>
      <c r="N4">
        <v>1556</v>
      </c>
      <c r="O4">
        <v>1555</v>
      </c>
      <c r="P4">
        <v>1445</v>
      </c>
      <c r="Q4">
        <v>1298</v>
      </c>
      <c r="R4">
        <f>+[3]Consolidado!$E$135</f>
        <v>1399</v>
      </c>
    </row>
    <row r="5" spans="1:18">
      <c r="M5" s="439" t="s">
        <v>976</v>
      </c>
      <c r="N5">
        <v>1002</v>
      </c>
      <c r="O5">
        <v>946</v>
      </c>
      <c r="P5">
        <v>856</v>
      </c>
      <c r="Q5">
        <v>780</v>
      </c>
      <c r="R5">
        <f>+[3]Consolidado!$E$230</f>
        <v>849</v>
      </c>
    </row>
    <row r="6" spans="1:18">
      <c r="M6" s="439" t="s">
        <v>977</v>
      </c>
      <c r="N6">
        <v>50</v>
      </c>
      <c r="O6">
        <v>43</v>
      </c>
      <c r="P6">
        <v>13</v>
      </c>
      <c r="Q6">
        <v>3</v>
      </c>
      <c r="R6">
        <f>+[3]Consolidado!$E$327</f>
        <v>2</v>
      </c>
    </row>
    <row r="7" spans="1:18">
      <c r="M7" s="439" t="s">
        <v>571</v>
      </c>
      <c r="N7">
        <v>2608</v>
      </c>
      <c r="O7">
        <v>2544</v>
      </c>
      <c r="P7">
        <v>2314</v>
      </c>
      <c r="Q7">
        <v>2081</v>
      </c>
      <c r="R7">
        <f>SUM(R4:R6)</f>
        <v>2250</v>
      </c>
    </row>
    <row r="8" spans="1:18" ht="25.5" customHeight="1">
      <c r="A8" s="440" t="s">
        <v>926</v>
      </c>
      <c r="B8" s="1220">
        <v>2010</v>
      </c>
      <c r="C8" s="1222"/>
      <c r="D8" s="1220">
        <v>2011</v>
      </c>
      <c r="E8" s="1222"/>
      <c r="F8" s="1220">
        <v>2012</v>
      </c>
      <c r="G8" s="1222"/>
      <c r="H8" s="1220">
        <v>2013</v>
      </c>
      <c r="I8" s="1222"/>
      <c r="J8" s="1220">
        <v>2014</v>
      </c>
      <c r="K8" s="1222"/>
      <c r="M8" s="439"/>
    </row>
    <row r="9" spans="1:18" ht="21" customHeight="1">
      <c r="A9" s="389"/>
      <c r="B9" s="385" t="s">
        <v>545</v>
      </c>
      <c r="C9" s="387" t="s">
        <v>978</v>
      </c>
      <c r="D9" s="372" t="s">
        <v>545</v>
      </c>
      <c r="E9" s="374" t="s">
        <v>978</v>
      </c>
      <c r="F9" s="373" t="s">
        <v>545</v>
      </c>
      <c r="G9" s="373" t="s">
        <v>978</v>
      </c>
      <c r="H9" s="372" t="s">
        <v>545</v>
      </c>
      <c r="I9" s="374" t="s">
        <v>978</v>
      </c>
      <c r="J9" s="372" t="s">
        <v>545</v>
      </c>
      <c r="K9" s="374" t="s">
        <v>978</v>
      </c>
      <c r="M9" s="439" t="s">
        <v>979</v>
      </c>
    </row>
    <row r="10" spans="1:18" ht="21" customHeight="1">
      <c r="A10" s="388" t="s">
        <v>980</v>
      </c>
      <c r="B10" s="441">
        <v>49.2</v>
      </c>
      <c r="C10" s="376">
        <v>32.969151670951156</v>
      </c>
      <c r="D10" s="441">
        <v>52.690084481991995</v>
      </c>
      <c r="E10" s="376">
        <v>39.742765273311896</v>
      </c>
      <c r="F10" s="441">
        <v>56.30990415335463</v>
      </c>
      <c r="G10" s="376">
        <v>39.653979238754324</v>
      </c>
      <c r="H10" s="441">
        <v>57.612216566404442</v>
      </c>
      <c r="I10" s="375">
        <v>39.368258859784284</v>
      </c>
      <c r="J10" s="441">
        <f>+'45'!C40/'45'!C37*100</f>
        <v>57.874015748031496</v>
      </c>
      <c r="K10" s="375">
        <f>+R21</f>
        <v>38.956397426733382</v>
      </c>
      <c r="M10" s="439" t="s">
        <v>926</v>
      </c>
      <c r="N10">
        <v>2010</v>
      </c>
      <c r="O10">
        <v>2011</v>
      </c>
      <c r="P10">
        <v>2012</v>
      </c>
      <c r="Q10">
        <v>2013</v>
      </c>
      <c r="R10">
        <f>+R3</f>
        <v>2014</v>
      </c>
    </row>
    <row r="11" spans="1:18" ht="21" customHeight="1">
      <c r="A11" s="388" t="s">
        <v>976</v>
      </c>
      <c r="B11" s="441">
        <v>48.2</v>
      </c>
      <c r="C11" s="376">
        <v>35.728542914171655</v>
      </c>
      <c r="D11" s="441">
        <v>48.783977110157366</v>
      </c>
      <c r="E11" s="376">
        <v>35.517970401691336</v>
      </c>
      <c r="F11" s="441">
        <v>53.407682775712516</v>
      </c>
      <c r="G11" s="376">
        <v>35.280373831775705</v>
      </c>
      <c r="H11" s="441">
        <v>54.585152838427952</v>
      </c>
      <c r="I11" s="375">
        <v>38.461538461538467</v>
      </c>
      <c r="J11" s="441">
        <f>+'45'!E40/'45'!E37*100</f>
        <v>56.89069925322471</v>
      </c>
      <c r="K11" s="375">
        <f>+R22</f>
        <v>39.340400471142523</v>
      </c>
      <c r="M11" s="439" t="s">
        <v>975</v>
      </c>
      <c r="N11">
        <v>513</v>
      </c>
      <c r="O11">
        <v>618</v>
      </c>
      <c r="P11">
        <v>573</v>
      </c>
      <c r="Q11">
        <v>511</v>
      </c>
      <c r="R11">
        <f>+[3]Consolidado!$D$135</f>
        <v>545</v>
      </c>
    </row>
    <row r="12" spans="1:18" ht="21" customHeight="1">
      <c r="A12" s="388" t="s">
        <v>977</v>
      </c>
      <c r="B12" s="441">
        <v>0</v>
      </c>
      <c r="C12" s="376">
        <v>0</v>
      </c>
      <c r="D12" s="441">
        <v>0</v>
      </c>
      <c r="E12" s="376">
        <v>0</v>
      </c>
      <c r="F12" s="441">
        <v>0</v>
      </c>
      <c r="G12" s="376">
        <v>0</v>
      </c>
      <c r="H12" s="441">
        <v>0</v>
      </c>
      <c r="I12" s="375">
        <v>0</v>
      </c>
      <c r="J12" s="441">
        <f>+'45'!G40/'45'!G37*100</f>
        <v>0</v>
      </c>
      <c r="K12" s="375">
        <f>+R2</f>
        <v>0</v>
      </c>
      <c r="M12" s="439" t="s">
        <v>976</v>
      </c>
      <c r="N12">
        <v>358</v>
      </c>
      <c r="O12">
        <v>336</v>
      </c>
      <c r="P12">
        <v>302</v>
      </c>
      <c r="Q12">
        <v>300</v>
      </c>
      <c r="R12">
        <f>+[3]Consolidado!$D$230</f>
        <v>334</v>
      </c>
    </row>
    <row r="13" spans="1:18" ht="21" customHeight="1">
      <c r="A13" s="388" t="s">
        <v>981</v>
      </c>
      <c r="B13" s="441">
        <v>75.400000000000006</v>
      </c>
      <c r="C13" s="376"/>
      <c r="D13" s="441">
        <v>55.26315789473685</v>
      </c>
      <c r="E13" s="376"/>
      <c r="F13" s="441">
        <v>76.19047619047619</v>
      </c>
      <c r="G13" s="376"/>
      <c r="H13" s="441">
        <v>76.666666666666671</v>
      </c>
      <c r="I13" s="375"/>
      <c r="J13" s="441">
        <f>+'45'!I40/'45'!I37*100</f>
        <v>90.322580645161281</v>
      </c>
      <c r="K13" s="375"/>
      <c r="M13" s="439" t="s">
        <v>977</v>
      </c>
      <c r="N13">
        <v>0</v>
      </c>
      <c r="O13">
        <v>0</v>
      </c>
      <c r="P13">
        <v>0</v>
      </c>
      <c r="Q13">
        <v>0</v>
      </c>
      <c r="R13">
        <f>+[3]Consolidado!$D$325</f>
        <v>0</v>
      </c>
    </row>
    <row r="14" spans="1:18" ht="21" customHeight="1">
      <c r="A14" s="389" t="s">
        <v>571</v>
      </c>
      <c r="B14" s="442">
        <v>48.6</v>
      </c>
      <c r="C14" s="380">
        <v>33.397239263803677</v>
      </c>
      <c r="D14" s="442">
        <v>50.630195762939124</v>
      </c>
      <c r="E14" s="380">
        <v>37.5</v>
      </c>
      <c r="F14" s="442">
        <v>55.331412103746402</v>
      </c>
      <c r="G14" s="380">
        <v>37.813310285220396</v>
      </c>
      <c r="H14" s="442">
        <v>56.558295964125563</v>
      </c>
      <c r="I14" s="379">
        <v>38.971648246035564</v>
      </c>
      <c r="J14" s="442">
        <f>+'45'!K40/'45'!K37*100</f>
        <v>57.72679324894515</v>
      </c>
      <c r="K14" s="379">
        <f>+R24</f>
        <v>39.066666666666663</v>
      </c>
      <c r="M14" s="439" t="s">
        <v>571</v>
      </c>
      <c r="N14">
        <v>871</v>
      </c>
      <c r="O14">
        <v>954</v>
      </c>
      <c r="P14">
        <v>875</v>
      </c>
      <c r="Q14">
        <v>811</v>
      </c>
      <c r="R14">
        <f>SUM(R11:R13)</f>
        <v>879</v>
      </c>
    </row>
    <row r="15" spans="1:18">
      <c r="M15" s="439"/>
    </row>
    <row r="16" spans="1:18">
      <c r="M16" s="439"/>
    </row>
    <row r="17" spans="13:18">
      <c r="M17" s="439"/>
    </row>
    <row r="18" spans="13:18">
      <c r="M18" s="439"/>
    </row>
    <row r="19" spans="13:18">
      <c r="M19" s="439" t="s">
        <v>982</v>
      </c>
    </row>
    <row r="20" spans="13:18">
      <c r="M20" s="439" t="s">
        <v>926</v>
      </c>
      <c r="N20">
        <f>+N10</f>
        <v>2010</v>
      </c>
      <c r="O20">
        <f>+O10</f>
        <v>2011</v>
      </c>
      <c r="P20">
        <f>+P10</f>
        <v>2012</v>
      </c>
      <c r="Q20">
        <f>+Q10</f>
        <v>2013</v>
      </c>
      <c r="R20">
        <f>+R10</f>
        <v>2014</v>
      </c>
    </row>
    <row r="21" spans="13:18">
      <c r="M21" s="439" t="s">
        <v>975</v>
      </c>
      <c r="N21" s="157">
        <f t="shared" ref="N21:R24" si="0">+N11/N4*100</f>
        <v>32.969151670951156</v>
      </c>
      <c r="O21" s="157">
        <f t="shared" si="0"/>
        <v>39.742765273311896</v>
      </c>
      <c r="P21" s="157">
        <f t="shared" si="0"/>
        <v>39.653979238754324</v>
      </c>
      <c r="Q21" s="157">
        <f t="shared" si="0"/>
        <v>39.368258859784284</v>
      </c>
      <c r="R21" s="157">
        <f t="shared" si="0"/>
        <v>38.956397426733382</v>
      </c>
    </row>
    <row r="22" spans="13:18">
      <c r="M22" s="439" t="s">
        <v>976</v>
      </c>
      <c r="N22" s="157">
        <f t="shared" si="0"/>
        <v>35.728542914171655</v>
      </c>
      <c r="O22" s="157">
        <f t="shared" si="0"/>
        <v>35.517970401691336</v>
      </c>
      <c r="P22" s="157">
        <f t="shared" si="0"/>
        <v>35.280373831775705</v>
      </c>
      <c r="Q22" s="157">
        <f t="shared" si="0"/>
        <v>38.461538461538467</v>
      </c>
      <c r="R22" s="157">
        <f t="shared" si="0"/>
        <v>39.340400471142523</v>
      </c>
    </row>
    <row r="23" spans="13:18">
      <c r="M23" s="439" t="s">
        <v>977</v>
      </c>
      <c r="N23" s="157">
        <f t="shared" si="0"/>
        <v>0</v>
      </c>
      <c r="O23" s="157">
        <f t="shared" si="0"/>
        <v>0</v>
      </c>
      <c r="P23" s="157">
        <f t="shared" si="0"/>
        <v>0</v>
      </c>
      <c r="Q23" s="157">
        <f t="shared" si="0"/>
        <v>0</v>
      </c>
      <c r="R23" s="157">
        <f t="shared" si="0"/>
        <v>0</v>
      </c>
    </row>
    <row r="24" spans="13:18">
      <c r="M24" s="439" t="s">
        <v>571</v>
      </c>
      <c r="N24" s="157">
        <f t="shared" si="0"/>
        <v>33.397239263803677</v>
      </c>
      <c r="O24" s="157">
        <f t="shared" si="0"/>
        <v>37.5</v>
      </c>
      <c r="P24" s="157">
        <f t="shared" si="0"/>
        <v>37.813310285220396</v>
      </c>
      <c r="Q24" s="157">
        <f t="shared" si="0"/>
        <v>38.971648246035564</v>
      </c>
      <c r="R24" s="157">
        <f t="shared" si="0"/>
        <v>39.066666666666663</v>
      </c>
    </row>
    <row r="38" spans="12:12">
      <c r="L38" t="s">
        <v>983</v>
      </c>
    </row>
  </sheetData>
  <mergeCells count="7">
    <mergeCell ref="J8:K8"/>
    <mergeCell ref="A1:K1"/>
    <mergeCell ref="A2:K2"/>
    <mergeCell ref="B8:C8"/>
    <mergeCell ref="D8:E8"/>
    <mergeCell ref="F8:G8"/>
    <mergeCell ref="H8:I8"/>
  </mergeCells>
  <phoneticPr fontId="19" type="noConversion"/>
  <pageMargins left="0.78740157480314965" right="0.78740157480314965" top="0.98425196850393704" bottom="0.98425196850393704" header="0.51181102362204722" footer="0"/>
  <pageSetup paperSize="9" orientation="portrait" horizontalDpi="300" verticalDpi="300" r:id="rId1"/>
  <headerFooter alignWithMargins="0">
    <oddHeader xml:space="preserve">&amp;R
</oddHeader>
  </headerFooter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24"/>
  <sheetViews>
    <sheetView topLeftCell="B19" workbookViewId="0">
      <selection activeCell="B23" sqref="B23"/>
    </sheetView>
  </sheetViews>
  <sheetFormatPr baseColWidth="10" defaultRowHeight="12.75"/>
  <cols>
    <col min="1" max="1" width="13.7109375" customWidth="1"/>
    <col min="2" max="2" width="6" customWidth="1"/>
    <col min="3" max="3" width="4.140625" customWidth="1"/>
    <col min="4" max="4" width="5.7109375" customWidth="1"/>
    <col min="5" max="5" width="4.42578125" customWidth="1"/>
    <col min="6" max="6" width="5.5703125" customWidth="1"/>
    <col min="7" max="7" width="4" customWidth="1"/>
    <col min="8" max="8" width="5.7109375" customWidth="1"/>
    <col min="9" max="9" width="4.28515625" customWidth="1"/>
    <col min="10" max="10" width="5.5703125" customWidth="1"/>
    <col min="11" max="11" width="4.5703125" customWidth="1"/>
    <col min="12" max="12" width="6" customWidth="1"/>
    <col min="13" max="13" width="4.7109375" customWidth="1"/>
    <col min="14" max="14" width="6.140625" customWidth="1"/>
    <col min="15" max="15" width="4.42578125" customWidth="1"/>
    <col min="16" max="16" width="5.85546875" customWidth="1"/>
    <col min="17" max="17" width="4.5703125" customWidth="1"/>
    <col min="18" max="18" width="5.7109375" customWidth="1"/>
    <col min="19" max="19" width="4.5703125" customWidth="1"/>
    <col min="20" max="20" width="5.85546875" customWidth="1"/>
    <col min="21" max="21" width="4.7109375" customWidth="1"/>
    <col min="22" max="22" width="5.7109375" customWidth="1"/>
    <col min="23" max="23" width="4.7109375" customWidth="1"/>
    <col min="24" max="24" width="5.5703125" customWidth="1"/>
    <col min="25" max="25" width="4.28515625" customWidth="1"/>
    <col min="26" max="26" width="5.7109375" customWidth="1"/>
    <col min="27" max="27" width="4.5703125" customWidth="1"/>
  </cols>
  <sheetData>
    <row r="1" spans="1:100">
      <c r="A1" s="83" t="s">
        <v>984</v>
      </c>
      <c r="B1" s="117"/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</row>
    <row r="2" spans="1:100">
      <c r="A2" s="83"/>
      <c r="B2" s="117"/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</row>
    <row r="3" spans="1:100">
      <c r="A3" s="3" t="s">
        <v>1435</v>
      </c>
      <c r="B3" s="117"/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</row>
    <row r="4" spans="1:100">
      <c r="A4" s="83"/>
      <c r="B4" s="117"/>
      <c r="C4" s="117"/>
      <c r="D4" s="117"/>
      <c r="E4" s="117"/>
      <c r="F4" s="117"/>
      <c r="G4" s="117"/>
      <c r="H4" s="117"/>
      <c r="I4" s="117"/>
      <c r="J4" s="117"/>
      <c r="K4" s="117"/>
      <c r="L4" s="117"/>
      <c r="M4" s="117"/>
      <c r="N4" s="117"/>
      <c r="O4" s="117"/>
      <c r="P4" s="117"/>
      <c r="Q4" s="117"/>
      <c r="R4" s="117"/>
      <c r="S4" s="117"/>
      <c r="T4" s="117"/>
      <c r="U4" s="117"/>
      <c r="V4" s="117"/>
      <c r="W4" s="117"/>
      <c r="X4" s="117"/>
      <c r="Y4" s="117"/>
      <c r="Z4" s="117"/>
      <c r="AA4" s="117"/>
    </row>
    <row r="5" spans="1:100">
      <c r="A5" s="117"/>
      <c r="B5" s="117"/>
      <c r="C5" s="117"/>
      <c r="D5" s="117"/>
      <c r="E5" s="117"/>
      <c r="F5" s="117"/>
      <c r="G5" s="117"/>
      <c r="H5" s="117"/>
      <c r="I5" s="117"/>
      <c r="J5" s="117"/>
      <c r="K5" s="117"/>
      <c r="L5" s="117"/>
      <c r="M5" s="117"/>
      <c r="N5" s="117"/>
      <c r="O5" s="117"/>
      <c r="P5" s="117"/>
      <c r="Q5" s="117"/>
      <c r="R5" s="117"/>
      <c r="S5" s="117"/>
      <c r="T5" s="117"/>
      <c r="U5" s="117"/>
      <c r="V5" s="117"/>
      <c r="W5" s="117"/>
      <c r="X5" s="117"/>
      <c r="Y5" s="117"/>
      <c r="Z5" s="117"/>
      <c r="AA5" s="117"/>
    </row>
    <row r="7" spans="1:100" ht="18" customHeight="1">
      <c r="A7" s="65"/>
      <c r="B7" s="121" t="s">
        <v>985</v>
      </c>
      <c r="C7" s="122"/>
      <c r="D7" s="122"/>
      <c r="E7" s="122"/>
      <c r="F7" s="122"/>
      <c r="G7" s="122"/>
      <c r="H7" s="122"/>
      <c r="I7" s="122"/>
      <c r="J7" s="122"/>
      <c r="K7" s="122"/>
      <c r="L7" s="122"/>
      <c r="M7" s="122"/>
      <c r="N7" s="122"/>
      <c r="O7" s="122"/>
      <c r="P7" s="122"/>
      <c r="Q7" s="122"/>
      <c r="R7" s="122"/>
      <c r="S7" s="122"/>
      <c r="T7" s="122"/>
      <c r="U7" s="122"/>
      <c r="V7" s="122"/>
      <c r="W7" s="122"/>
      <c r="X7" s="122"/>
      <c r="Y7" s="124"/>
      <c r="Z7" s="61"/>
      <c r="AA7" s="335"/>
    </row>
    <row r="8" spans="1:100">
      <c r="A8" s="44" t="s">
        <v>986</v>
      </c>
      <c r="B8" s="287" t="s">
        <v>987</v>
      </c>
      <c r="C8" s="288"/>
      <c r="D8" s="287" t="s">
        <v>761</v>
      </c>
      <c r="E8" s="288"/>
      <c r="F8" s="287" t="s">
        <v>988</v>
      </c>
      <c r="G8" s="288"/>
      <c r="H8" s="287" t="s">
        <v>483</v>
      </c>
      <c r="I8" s="288"/>
      <c r="J8" s="443" t="s">
        <v>717</v>
      </c>
      <c r="K8" s="444"/>
      <c r="L8" s="287" t="s">
        <v>764</v>
      </c>
      <c r="M8" s="288"/>
      <c r="N8" s="287" t="s">
        <v>445</v>
      </c>
      <c r="O8" s="288"/>
      <c r="P8" s="287" t="s">
        <v>463</v>
      </c>
      <c r="Q8" s="288"/>
      <c r="R8" s="287" t="s">
        <v>468</v>
      </c>
      <c r="S8" s="288"/>
      <c r="T8" s="287" t="s">
        <v>989</v>
      </c>
      <c r="U8" s="288"/>
      <c r="V8" s="445" t="s">
        <v>470</v>
      </c>
      <c r="W8" s="445"/>
      <c r="X8" s="443" t="s">
        <v>717</v>
      </c>
      <c r="Y8" s="444"/>
      <c r="Z8" s="446" t="s">
        <v>706</v>
      </c>
      <c r="AA8" s="447"/>
      <c r="AB8" s="221"/>
      <c r="AC8" s="221"/>
      <c r="AD8" s="221"/>
      <c r="AE8" s="221"/>
      <c r="AF8" s="221"/>
      <c r="AG8" s="221"/>
      <c r="AH8" s="221"/>
      <c r="AI8" s="221"/>
      <c r="AJ8" s="221"/>
      <c r="AK8" s="221"/>
      <c r="AL8" s="221"/>
      <c r="AM8" s="221"/>
      <c r="AN8" s="221"/>
      <c r="AO8" s="221"/>
      <c r="AP8" s="221"/>
      <c r="AQ8" s="221"/>
      <c r="AR8" s="221"/>
      <c r="AS8" s="221"/>
      <c r="AT8" s="221"/>
      <c r="AU8" s="221"/>
      <c r="AV8" s="221"/>
      <c r="AW8" s="221"/>
      <c r="AX8" s="221"/>
      <c r="AY8" s="221"/>
      <c r="AZ8" s="221"/>
      <c r="BA8" s="221"/>
      <c r="BB8" s="221"/>
      <c r="BC8" s="221"/>
      <c r="BD8" s="221"/>
      <c r="BE8" s="221"/>
      <c r="BF8" s="221"/>
      <c r="BG8" s="221"/>
      <c r="BH8" s="221"/>
      <c r="BI8" s="221"/>
      <c r="BJ8" s="221"/>
      <c r="BK8" s="221"/>
      <c r="BL8" s="221"/>
      <c r="BM8" s="221"/>
      <c r="BN8" s="221"/>
      <c r="BO8" s="221"/>
      <c r="BP8" s="221"/>
      <c r="BQ8" s="221"/>
      <c r="BR8" s="221"/>
      <c r="BS8" s="221"/>
      <c r="BT8" s="221"/>
      <c r="BU8" s="221"/>
      <c r="BV8" s="221"/>
      <c r="BW8" s="221"/>
      <c r="BX8" s="221"/>
      <c r="BY8" s="221"/>
      <c r="BZ8" s="221"/>
      <c r="CA8" s="221"/>
      <c r="CB8" s="221"/>
      <c r="CC8" s="221"/>
      <c r="CD8" s="221"/>
      <c r="CE8" s="221"/>
      <c r="CF8" s="221"/>
      <c r="CG8" s="221"/>
      <c r="CH8" s="221"/>
      <c r="CI8" s="221"/>
      <c r="CJ8" s="221"/>
      <c r="CK8" s="221"/>
      <c r="CL8" s="221"/>
      <c r="CM8" s="221"/>
      <c r="CN8" s="221"/>
      <c r="CO8" s="221"/>
      <c r="CP8" s="221"/>
      <c r="CQ8" s="221"/>
      <c r="CR8" s="221"/>
      <c r="CS8" s="221"/>
      <c r="CT8" s="221"/>
      <c r="CU8" s="221"/>
      <c r="CV8" s="221"/>
    </row>
    <row r="9" spans="1:100">
      <c r="A9" s="66"/>
      <c r="B9" s="257" t="s">
        <v>990</v>
      </c>
      <c r="C9" s="259" t="s">
        <v>991</v>
      </c>
      <c r="D9" s="257" t="s">
        <v>990</v>
      </c>
      <c r="E9" s="259" t="s">
        <v>991</v>
      </c>
      <c r="F9" s="257" t="s">
        <v>990</v>
      </c>
      <c r="G9" s="259" t="s">
        <v>991</v>
      </c>
      <c r="H9" s="257" t="s">
        <v>990</v>
      </c>
      <c r="I9" s="259" t="s">
        <v>991</v>
      </c>
      <c r="J9" s="448" t="s">
        <v>990</v>
      </c>
      <c r="K9" s="449" t="s">
        <v>991</v>
      </c>
      <c r="L9" s="257" t="s">
        <v>990</v>
      </c>
      <c r="M9" s="259" t="s">
        <v>991</v>
      </c>
      <c r="N9" s="257" t="s">
        <v>990</v>
      </c>
      <c r="O9" s="259" t="s">
        <v>991</v>
      </c>
      <c r="P9" s="257" t="s">
        <v>990</v>
      </c>
      <c r="Q9" s="259" t="s">
        <v>991</v>
      </c>
      <c r="R9" s="257" t="s">
        <v>990</v>
      </c>
      <c r="S9" s="259" t="s">
        <v>991</v>
      </c>
      <c r="T9" s="257" t="s">
        <v>990</v>
      </c>
      <c r="U9" s="259" t="s">
        <v>991</v>
      </c>
      <c r="V9" s="450" t="s">
        <v>990</v>
      </c>
      <c r="W9" s="450" t="s">
        <v>991</v>
      </c>
      <c r="X9" s="448" t="s">
        <v>990</v>
      </c>
      <c r="Y9" s="449" t="s">
        <v>991</v>
      </c>
      <c r="Z9" s="448" t="s">
        <v>990</v>
      </c>
      <c r="AA9" s="449" t="s">
        <v>991</v>
      </c>
      <c r="AB9" s="221"/>
      <c r="AC9" s="221"/>
      <c r="AD9" s="221"/>
      <c r="AE9" s="221"/>
      <c r="AF9" s="221"/>
      <c r="AG9" s="221"/>
      <c r="AH9" s="221"/>
      <c r="AI9" s="221"/>
      <c r="AJ9" s="221"/>
      <c r="AK9" s="221"/>
      <c r="AL9" s="221"/>
      <c r="AM9" s="221"/>
      <c r="AN9" s="221"/>
      <c r="AO9" s="221"/>
      <c r="AP9" s="221"/>
      <c r="AQ9" s="221"/>
      <c r="AR9" s="221"/>
      <c r="AS9" s="221"/>
      <c r="AT9" s="221"/>
      <c r="AU9" s="221"/>
      <c r="AV9" s="221"/>
      <c r="AW9" s="221"/>
      <c r="AX9" s="221"/>
      <c r="AY9" s="221"/>
      <c r="AZ9" s="221"/>
      <c r="BA9" s="221"/>
      <c r="BB9" s="221"/>
      <c r="BC9" s="221"/>
      <c r="BD9" s="221"/>
      <c r="BE9" s="221"/>
      <c r="BF9" s="221"/>
      <c r="BG9" s="221"/>
      <c r="BH9" s="221"/>
      <c r="BI9" s="221"/>
      <c r="BJ9" s="221"/>
      <c r="BK9" s="221"/>
      <c r="BL9" s="221"/>
      <c r="BM9" s="221"/>
      <c r="BN9" s="221"/>
      <c r="BO9" s="221"/>
      <c r="BP9" s="221"/>
      <c r="BQ9" s="221"/>
      <c r="BR9" s="221"/>
      <c r="BS9" s="221"/>
      <c r="BT9" s="221"/>
      <c r="BU9" s="221"/>
      <c r="BV9" s="221"/>
      <c r="BW9" s="221"/>
      <c r="BX9" s="221"/>
      <c r="BY9" s="221"/>
      <c r="BZ9" s="221"/>
      <c r="CA9" s="221"/>
      <c r="CB9" s="221"/>
      <c r="CC9" s="221"/>
      <c r="CD9" s="221"/>
      <c r="CE9" s="221"/>
      <c r="CF9" s="221"/>
      <c r="CG9" s="221"/>
      <c r="CH9" s="221"/>
      <c r="CI9" s="221"/>
      <c r="CJ9" s="221"/>
      <c r="CK9" s="221"/>
      <c r="CL9" s="221"/>
      <c r="CM9" s="221"/>
      <c r="CN9" s="221"/>
      <c r="CO9" s="221"/>
      <c r="CP9" s="221"/>
      <c r="CQ9" s="221"/>
      <c r="CR9" s="221"/>
      <c r="CS9" s="221"/>
      <c r="CT9" s="221"/>
      <c r="CU9" s="221"/>
      <c r="CV9" s="221"/>
    </row>
    <row r="10" spans="1:100" ht="12" customHeight="1">
      <c r="A10" s="44"/>
      <c r="B10" s="45"/>
      <c r="C10" s="47"/>
      <c r="D10" s="57"/>
      <c r="E10" s="297"/>
      <c r="F10" s="47"/>
      <c r="G10" s="47"/>
      <c r="H10" s="57"/>
      <c r="I10" s="297"/>
      <c r="J10" s="451"/>
      <c r="K10" s="452"/>
      <c r="L10" s="45"/>
      <c r="M10" s="47"/>
      <c r="N10" s="57"/>
      <c r="O10" s="297"/>
      <c r="P10" s="47"/>
      <c r="Q10" s="47"/>
      <c r="R10" s="57"/>
      <c r="S10" s="297"/>
      <c r="T10" s="47"/>
      <c r="U10" s="47"/>
      <c r="V10" s="57"/>
      <c r="W10" s="297"/>
      <c r="X10" s="453"/>
      <c r="Y10" s="454"/>
      <c r="Z10" s="453"/>
      <c r="AA10" s="454"/>
    </row>
    <row r="11" spans="1:100" ht="17.25" customHeight="1">
      <c r="A11" s="455" t="s">
        <v>993</v>
      </c>
      <c r="B11" s="456">
        <f>+[3]Consolidado!$D$14</f>
        <v>3</v>
      </c>
      <c r="C11" s="456">
        <f>+[3]Consolidado!$E$14</f>
        <v>2</v>
      </c>
      <c r="D11" s="457">
        <f>+[3]Consolidado!$D$15</f>
        <v>1</v>
      </c>
      <c r="E11" s="458">
        <f>+[3]Consolidado!$E$15</f>
        <v>0</v>
      </c>
      <c r="F11" s="456">
        <f>+[3]Consolidado!$D$16</f>
        <v>0</v>
      </c>
      <c r="G11" s="456">
        <f>+[3]Consolidado!$E$16</f>
        <v>0</v>
      </c>
      <c r="H11" s="457">
        <f>+[3]Consolidado!$D$17</f>
        <v>2</v>
      </c>
      <c r="I11" s="458">
        <f>+[3]Consolidado!$E$17</f>
        <v>0</v>
      </c>
      <c r="J11" s="459">
        <f t="shared" ref="J11:K15" si="0">+B11+D11+F11+H11</f>
        <v>6</v>
      </c>
      <c r="K11" s="460">
        <f t="shared" si="0"/>
        <v>2</v>
      </c>
      <c r="L11" s="456">
        <f>+[3]Consolidado!$D$19</f>
        <v>3</v>
      </c>
      <c r="M11" s="456">
        <f>+[3]Consolidado!$E$19</f>
        <v>0</v>
      </c>
      <c r="N11" s="457">
        <f>+[3]Consolidado!$D$20</f>
        <v>2</v>
      </c>
      <c r="O11" s="458">
        <f>+[3]Consolidado!$E$20</f>
        <v>1</v>
      </c>
      <c r="P11" s="456">
        <f>+[3]Consolidado!$D$21</f>
        <v>1</v>
      </c>
      <c r="Q11" s="456">
        <f>+[3]Consolidado!$E$21</f>
        <v>3</v>
      </c>
      <c r="R11" s="457">
        <f>+[3]Consolidado!$D$22</f>
        <v>0</v>
      </c>
      <c r="S11" s="458">
        <f>+[3]Consolidado!$E$22</f>
        <v>0</v>
      </c>
      <c r="T11" s="456">
        <f>+[3]Consolidado!$D$23</f>
        <v>2</v>
      </c>
      <c r="U11" s="456">
        <f>+[3]Consolidado!$E$23</f>
        <v>0</v>
      </c>
      <c r="V11" s="457">
        <f>+[3]Consolidado!$D$24</f>
        <v>0</v>
      </c>
      <c r="W11" s="458">
        <f>+[3]Consolidado!$E$24</f>
        <v>0</v>
      </c>
      <c r="X11" s="461">
        <f t="shared" ref="X11:Y15" si="1">+L11+N11+P11+R11+T11+V11</f>
        <v>8</v>
      </c>
      <c r="Y11" s="462">
        <f t="shared" si="1"/>
        <v>4</v>
      </c>
      <c r="Z11" s="461">
        <f t="shared" ref="Z11:AA15" si="2">+X11+J11</f>
        <v>14</v>
      </c>
      <c r="AA11" s="462">
        <f t="shared" si="2"/>
        <v>6</v>
      </c>
      <c r="AB11" s="6"/>
      <c r="AC11" s="6"/>
      <c r="AD11" s="6"/>
      <c r="AE11" s="6"/>
      <c r="AF11" s="6"/>
      <c r="AG11" s="6"/>
      <c r="AH11" s="6"/>
      <c r="AI11" s="6"/>
      <c r="AJ11" s="6"/>
      <c r="AK11" s="6"/>
      <c r="AL11" s="6"/>
      <c r="AM11" s="6"/>
      <c r="AN11" s="6"/>
      <c r="AO11" s="6"/>
      <c r="AP11" s="6"/>
      <c r="AQ11" s="6"/>
      <c r="AR11" s="6"/>
      <c r="AS11" s="6"/>
      <c r="AT11" s="6"/>
      <c r="AU11" s="6"/>
      <c r="AV11" s="6"/>
      <c r="AW11" s="6"/>
      <c r="AX11" s="6"/>
      <c r="AY11" s="6"/>
      <c r="AZ11" s="6"/>
    </row>
    <row r="12" spans="1:100" ht="19.5" customHeight="1">
      <c r="A12" s="252" t="s">
        <v>994</v>
      </c>
      <c r="B12" s="456">
        <f>+[3]Consolidado!$F$14</f>
        <v>4</v>
      </c>
      <c r="C12" s="456">
        <f>+[3]Consolidado!$G$14</f>
        <v>1</v>
      </c>
      <c r="D12" s="457">
        <f>+[3]Consolidado!$F$15</f>
        <v>0</v>
      </c>
      <c r="E12" s="458">
        <f>+[3]Consolidado!$G$15</f>
        <v>0</v>
      </c>
      <c r="F12" s="456">
        <f>+[3]Consolidado!$F$16</f>
        <v>0</v>
      </c>
      <c r="G12" s="456">
        <f>+[3]Consolidado!$G$16</f>
        <v>0</v>
      </c>
      <c r="H12" s="457">
        <f>+[3]Consolidado!$F$17</f>
        <v>1</v>
      </c>
      <c r="I12" s="458">
        <f>+[3]Consolidado!$G$17</f>
        <v>0</v>
      </c>
      <c r="J12" s="459">
        <f t="shared" si="0"/>
        <v>5</v>
      </c>
      <c r="K12" s="460">
        <f t="shared" si="0"/>
        <v>1</v>
      </c>
      <c r="L12" s="456">
        <f>+[3]Consolidado!$F$19</f>
        <v>10</v>
      </c>
      <c r="M12" s="456">
        <f>+[3]Consolidado!$G$19</f>
        <v>0</v>
      </c>
      <c r="N12" s="457">
        <f>+[3]Consolidado!$F$20</f>
        <v>3</v>
      </c>
      <c r="O12" s="458">
        <f>+[3]Consolidado!$G$20</f>
        <v>0</v>
      </c>
      <c r="P12" s="456">
        <f>+[3]Consolidado!$F$21</f>
        <v>2</v>
      </c>
      <c r="Q12" s="456">
        <f>+[3]Consolidado!$G$21</f>
        <v>0</v>
      </c>
      <c r="R12" s="457">
        <f>+[3]Consolidado!$F$22</f>
        <v>1</v>
      </c>
      <c r="S12" s="458">
        <f>+[3]Consolidado!$G$22</f>
        <v>0</v>
      </c>
      <c r="T12" s="456">
        <f>+[3]Consolidado!$F$23</f>
        <v>1</v>
      </c>
      <c r="U12" s="456">
        <f>+[3]Consolidado!$G$23</f>
        <v>0</v>
      </c>
      <c r="V12" s="457">
        <f>+[3]Consolidado!$F$24</f>
        <v>1</v>
      </c>
      <c r="W12" s="458">
        <f>+[3]Consolidado!$G$24</f>
        <v>0</v>
      </c>
      <c r="X12" s="461">
        <f t="shared" si="1"/>
        <v>18</v>
      </c>
      <c r="Y12" s="462">
        <f t="shared" si="1"/>
        <v>0</v>
      </c>
      <c r="Z12" s="461">
        <f t="shared" si="2"/>
        <v>23</v>
      </c>
      <c r="AA12" s="462">
        <f t="shared" si="2"/>
        <v>1</v>
      </c>
    </row>
    <row r="13" spans="1:100" ht="18.75" customHeight="1">
      <c r="A13" s="252" t="s">
        <v>995</v>
      </c>
      <c r="B13" s="456">
        <f>+[3]Consolidado!$H$14</f>
        <v>7</v>
      </c>
      <c r="C13" s="456">
        <f>+[3]Consolidado!$I$14</f>
        <v>1</v>
      </c>
      <c r="D13" s="457">
        <f>+[3]Consolidado!$H$15</f>
        <v>1</v>
      </c>
      <c r="E13" s="458">
        <f>+[3]Consolidado!$I$15</f>
        <v>0</v>
      </c>
      <c r="F13" s="456">
        <f>+[3]Consolidado!$H$16</f>
        <v>1</v>
      </c>
      <c r="G13" s="456">
        <f>+[3]Consolidado!$I$16</f>
        <v>0</v>
      </c>
      <c r="H13" s="457">
        <f>+[3]Consolidado!$H$17</f>
        <v>2</v>
      </c>
      <c r="I13" s="458">
        <f>+[3]Consolidado!$I$17</f>
        <v>0</v>
      </c>
      <c r="J13" s="459">
        <f t="shared" si="0"/>
        <v>11</v>
      </c>
      <c r="K13" s="460">
        <f t="shared" si="0"/>
        <v>1</v>
      </c>
      <c r="L13" s="456">
        <f>+[3]Consolidado!$H$19</f>
        <v>16</v>
      </c>
      <c r="M13" s="456">
        <f>+[3]Consolidado!$I$19</f>
        <v>1</v>
      </c>
      <c r="N13" s="457">
        <f>+[3]Consolidado!$H$20</f>
        <v>2</v>
      </c>
      <c r="O13" s="458">
        <f>+[3]Consolidado!$I$20</f>
        <v>0</v>
      </c>
      <c r="P13" s="456">
        <f>+[3]Consolidado!$H$21</f>
        <v>4</v>
      </c>
      <c r="Q13" s="456">
        <f>+[3]Consolidado!$I$21</f>
        <v>0</v>
      </c>
      <c r="R13" s="457">
        <f>+[3]Consolidado!$H$22</f>
        <v>3</v>
      </c>
      <c r="S13" s="458">
        <f>+[3]Consolidado!$I$22</f>
        <v>0</v>
      </c>
      <c r="T13" s="456">
        <f>+[3]Consolidado!$H$23</f>
        <v>5</v>
      </c>
      <c r="U13" s="456">
        <f>+[3]Consolidado!$I$23</f>
        <v>1</v>
      </c>
      <c r="V13" s="457">
        <f>+[3]Consolidado!$H$24</f>
        <v>2</v>
      </c>
      <c r="W13" s="458">
        <f>+[3]Consolidado!$I$24</f>
        <v>0</v>
      </c>
      <c r="X13" s="461">
        <f t="shared" si="1"/>
        <v>32</v>
      </c>
      <c r="Y13" s="462">
        <f t="shared" si="1"/>
        <v>2</v>
      </c>
      <c r="Z13" s="461">
        <f t="shared" si="2"/>
        <v>43</v>
      </c>
      <c r="AA13" s="462">
        <f t="shared" si="2"/>
        <v>3</v>
      </c>
    </row>
    <row r="14" spans="1:100" ht="18.75" customHeight="1">
      <c r="A14" s="252" t="s">
        <v>996</v>
      </c>
      <c r="B14" s="456">
        <f>+[3]Consolidado!$J$14</f>
        <v>40</v>
      </c>
      <c r="C14" s="456">
        <f>+[3]Consolidado!$K$14</f>
        <v>2</v>
      </c>
      <c r="D14" s="457">
        <f>+[3]Consolidado!$J$15</f>
        <v>13</v>
      </c>
      <c r="E14" s="458">
        <f>+[3]Consolidado!$K$15</f>
        <v>0</v>
      </c>
      <c r="F14" s="456">
        <f>+[3]Consolidado!$J$16</f>
        <v>6</v>
      </c>
      <c r="G14" s="456">
        <f>+[3]Consolidado!$K$16</f>
        <v>0</v>
      </c>
      <c r="H14" s="457">
        <f>+[3]Consolidado!$J$17</f>
        <v>3</v>
      </c>
      <c r="I14" s="458">
        <f>+[3]Consolidado!$K$17</f>
        <v>0</v>
      </c>
      <c r="J14" s="459">
        <f t="shared" si="0"/>
        <v>62</v>
      </c>
      <c r="K14" s="460">
        <f t="shared" si="0"/>
        <v>2</v>
      </c>
      <c r="L14" s="456">
        <f>+[3]Consolidado!$J$19</f>
        <v>53</v>
      </c>
      <c r="M14" s="456">
        <f>+[3]Consolidado!$K$19</f>
        <v>1</v>
      </c>
      <c r="N14" s="457">
        <f>+[3]Consolidado!$J$20</f>
        <v>7</v>
      </c>
      <c r="O14" s="458">
        <f>+[3]Consolidado!$K$20</f>
        <v>0</v>
      </c>
      <c r="P14" s="456">
        <f>+[3]Consolidado!$J$21</f>
        <v>9</v>
      </c>
      <c r="Q14" s="456">
        <f>+[3]Consolidado!$K$21</f>
        <v>0</v>
      </c>
      <c r="R14" s="457">
        <f>+[3]Consolidado!$J$22</f>
        <v>1</v>
      </c>
      <c r="S14" s="458">
        <f>+[3]Consolidado!$K$22</f>
        <v>0</v>
      </c>
      <c r="T14" s="456">
        <f>+[3]Consolidado!$J$23</f>
        <v>11</v>
      </c>
      <c r="U14" s="456">
        <f>+[3]Consolidado!$K$23</f>
        <v>0</v>
      </c>
      <c r="V14" s="457">
        <f>+[3]Consolidado!$J$24</f>
        <v>6</v>
      </c>
      <c r="W14" s="458">
        <f>+[3]Consolidado!$K$24</f>
        <v>0</v>
      </c>
      <c r="X14" s="461">
        <f t="shared" si="1"/>
        <v>87</v>
      </c>
      <c r="Y14" s="462">
        <f t="shared" si="1"/>
        <v>1</v>
      </c>
      <c r="Z14" s="461">
        <f t="shared" si="2"/>
        <v>149</v>
      </c>
      <c r="AA14" s="462">
        <f t="shared" si="2"/>
        <v>3</v>
      </c>
    </row>
    <row r="15" spans="1:100" ht="18.75" customHeight="1">
      <c r="A15" s="252" t="s">
        <v>997</v>
      </c>
      <c r="B15" s="456">
        <f>+[3]Consolidado!$L$14</f>
        <v>175</v>
      </c>
      <c r="C15" s="456">
        <f>+[3]Consolidado!$M$14</f>
        <v>1</v>
      </c>
      <c r="D15" s="457">
        <f>+[3]Consolidado!$L$15</f>
        <v>49</v>
      </c>
      <c r="E15" s="458">
        <f>+[3]Consolidado!$M$15</f>
        <v>0</v>
      </c>
      <c r="F15" s="456">
        <f>+[3]Consolidado!$L$16</f>
        <v>17</v>
      </c>
      <c r="G15" s="456">
        <f>+[3]Consolidado!$M$16</f>
        <v>0</v>
      </c>
      <c r="H15" s="457">
        <f>+[3]Consolidado!$L$17</f>
        <v>23</v>
      </c>
      <c r="I15" s="458">
        <f>+[3]Consolidado!$M$17</f>
        <v>0</v>
      </c>
      <c r="J15" s="459">
        <f t="shared" si="0"/>
        <v>264</v>
      </c>
      <c r="K15" s="460">
        <f t="shared" si="0"/>
        <v>1</v>
      </c>
      <c r="L15" s="456">
        <f>+[3]Consolidado!$L$19</f>
        <v>176</v>
      </c>
      <c r="M15" s="456">
        <f>+[3]Consolidado!$M$19</f>
        <v>4</v>
      </c>
      <c r="N15" s="457">
        <f>+[3]Consolidado!$L$20</f>
        <v>39</v>
      </c>
      <c r="O15" s="458">
        <f>+[3]Consolidado!$M$20</f>
        <v>0</v>
      </c>
      <c r="P15" s="456">
        <f>+[3]Consolidado!$L$21</f>
        <v>28</v>
      </c>
      <c r="Q15" s="456">
        <f>+[3]Consolidado!$M$21</f>
        <v>0</v>
      </c>
      <c r="R15" s="457">
        <f>+[3]Consolidado!$L$22</f>
        <v>24</v>
      </c>
      <c r="S15" s="458">
        <f>+[3]Consolidado!$M$22</f>
        <v>0</v>
      </c>
      <c r="T15" s="456">
        <f>+[3]Consolidado!$L$23</f>
        <v>67</v>
      </c>
      <c r="U15" s="456">
        <f>+[3]Consolidado!$M$23</f>
        <v>0</v>
      </c>
      <c r="V15" s="457">
        <f>+[3]Consolidado!$L$24</f>
        <v>39</v>
      </c>
      <c r="W15" s="458">
        <f>+[3]Consolidado!$M$24</f>
        <v>0</v>
      </c>
      <c r="X15" s="461">
        <f t="shared" si="1"/>
        <v>373</v>
      </c>
      <c r="Y15" s="462">
        <f t="shared" si="1"/>
        <v>4</v>
      </c>
      <c r="Z15" s="461">
        <f t="shared" si="2"/>
        <v>637</v>
      </c>
      <c r="AA15" s="462">
        <f t="shared" si="2"/>
        <v>5</v>
      </c>
    </row>
    <row r="16" spans="1:100" ht="19.5" customHeight="1">
      <c r="A16" s="252" t="s">
        <v>998</v>
      </c>
      <c r="B16" s="456">
        <f t="shared" ref="B16:W16" si="3">SUM(B11:B15)</f>
        <v>229</v>
      </c>
      <c r="C16" s="456">
        <f t="shared" si="3"/>
        <v>7</v>
      </c>
      <c r="D16" s="457">
        <f t="shared" si="3"/>
        <v>64</v>
      </c>
      <c r="E16" s="458">
        <f t="shared" si="3"/>
        <v>0</v>
      </c>
      <c r="F16" s="456">
        <f t="shared" si="3"/>
        <v>24</v>
      </c>
      <c r="G16" s="456">
        <f t="shared" si="3"/>
        <v>0</v>
      </c>
      <c r="H16" s="457">
        <f t="shared" si="3"/>
        <v>31</v>
      </c>
      <c r="I16" s="458">
        <f t="shared" si="3"/>
        <v>0</v>
      </c>
      <c r="J16" s="459">
        <f t="shared" si="3"/>
        <v>348</v>
      </c>
      <c r="K16" s="460">
        <f t="shared" si="3"/>
        <v>7</v>
      </c>
      <c r="L16" s="456">
        <f t="shared" si="3"/>
        <v>258</v>
      </c>
      <c r="M16" s="456">
        <f t="shared" si="3"/>
        <v>6</v>
      </c>
      <c r="N16" s="457">
        <f t="shared" si="3"/>
        <v>53</v>
      </c>
      <c r="O16" s="458">
        <f t="shared" si="3"/>
        <v>1</v>
      </c>
      <c r="P16" s="456">
        <f t="shared" si="3"/>
        <v>44</v>
      </c>
      <c r="Q16" s="456">
        <f t="shared" si="3"/>
        <v>3</v>
      </c>
      <c r="R16" s="457">
        <f t="shared" si="3"/>
        <v>29</v>
      </c>
      <c r="S16" s="458">
        <f t="shared" si="3"/>
        <v>0</v>
      </c>
      <c r="T16" s="456">
        <f t="shared" si="3"/>
        <v>86</v>
      </c>
      <c r="U16" s="456">
        <f t="shared" si="3"/>
        <v>1</v>
      </c>
      <c r="V16" s="457">
        <f t="shared" si="3"/>
        <v>48</v>
      </c>
      <c r="W16" s="458">
        <f t="shared" si="3"/>
        <v>0</v>
      </c>
      <c r="X16" s="461">
        <f>SUM(X11:X15)</f>
        <v>518</v>
      </c>
      <c r="Y16" s="463">
        <f>SUM(Y11:Y15)</f>
        <v>11</v>
      </c>
      <c r="Z16" s="461">
        <f>SUM(Z11:Z15)</f>
        <v>866</v>
      </c>
      <c r="AA16" s="462">
        <f>SUM(AA11:AA15)</f>
        <v>18</v>
      </c>
    </row>
    <row r="17" spans="1:27" ht="19.5" customHeight="1">
      <c r="A17" s="252" t="s">
        <v>999</v>
      </c>
      <c r="B17" s="456">
        <f>+[3]Consolidado!$N$14</f>
        <v>451</v>
      </c>
      <c r="C17" s="456">
        <f>+[3]Consolidado!$O$14</f>
        <v>1</v>
      </c>
      <c r="D17" s="457">
        <f>+[3]Consolidado!$N$15</f>
        <v>107</v>
      </c>
      <c r="E17" s="458">
        <f>+[3]Consolidado!$O$15</f>
        <v>0</v>
      </c>
      <c r="F17" s="456">
        <f>+[3]Consolidado!$N$16</f>
        <v>66</v>
      </c>
      <c r="G17" s="456">
        <f>+[3]Consolidado!$O$16</f>
        <v>0</v>
      </c>
      <c r="H17" s="457">
        <f>+[3]Consolidado!$N$17</f>
        <v>51</v>
      </c>
      <c r="I17" s="458">
        <f>+[3]Consolidado!$O$17</f>
        <v>0</v>
      </c>
      <c r="J17" s="459">
        <f t="shared" ref="J17:K19" si="4">+B17+D17+F17+H17</f>
        <v>675</v>
      </c>
      <c r="K17" s="460">
        <f t="shared" si="4"/>
        <v>1</v>
      </c>
      <c r="L17" s="456">
        <f>+[3]Consolidado!$N$19</f>
        <v>465</v>
      </c>
      <c r="M17" s="456">
        <f>+[3]Consolidado!$O$19</f>
        <v>1</v>
      </c>
      <c r="N17" s="457">
        <f>+[3]Consolidado!$N$20</f>
        <v>78</v>
      </c>
      <c r="O17" s="458">
        <f>+[3]Consolidado!$O$20</f>
        <v>0</v>
      </c>
      <c r="P17" s="456">
        <f>+[3]Consolidado!$N$21</f>
        <v>75</v>
      </c>
      <c r="Q17" s="456">
        <f>+[3]Consolidado!$O$21</f>
        <v>0</v>
      </c>
      <c r="R17" s="457">
        <f>+[3]Consolidado!$N$22</f>
        <v>48</v>
      </c>
      <c r="S17" s="458">
        <f>+[3]Consolidado!$O$22</f>
        <v>0</v>
      </c>
      <c r="T17" s="456">
        <f>+[3]Consolidado!$N$23</f>
        <v>179</v>
      </c>
      <c r="U17" s="456">
        <f>+[3]Consolidado!$O$23</f>
        <v>0</v>
      </c>
      <c r="V17" s="457">
        <f>+[3]Consolidado!$N$24</f>
        <v>64</v>
      </c>
      <c r="W17" s="458">
        <f>+[3]Consolidado!$O$24</f>
        <v>0</v>
      </c>
      <c r="X17" s="461">
        <f t="shared" ref="X17:Y19" si="5">+L17+N17+P17+R17+T17+V17</f>
        <v>909</v>
      </c>
      <c r="Y17" s="462">
        <f t="shared" si="5"/>
        <v>1</v>
      </c>
      <c r="Z17" s="461">
        <f t="shared" ref="Z17:AA19" si="6">+X17+J17</f>
        <v>1584</v>
      </c>
      <c r="AA17" s="462">
        <f t="shared" si="6"/>
        <v>2</v>
      </c>
    </row>
    <row r="18" spans="1:27" ht="18.75" customHeight="1">
      <c r="A18" s="252" t="s">
        <v>1000</v>
      </c>
      <c r="B18" s="456">
        <f>+[3]Consolidado!$P$14</f>
        <v>273</v>
      </c>
      <c r="C18" s="456">
        <f>+[3]Consolidado!$Q$14</f>
        <v>0</v>
      </c>
      <c r="D18" s="457">
        <f>+[3]Consolidado!$P$15</f>
        <v>66</v>
      </c>
      <c r="E18" s="458">
        <f>+[3]Consolidado!$Q$15</f>
        <v>0</v>
      </c>
      <c r="F18" s="456">
        <f>+[3]Consolidado!$P$16</f>
        <v>54</v>
      </c>
      <c r="G18" s="456">
        <f>+[3]Consolidado!$Q$16</f>
        <v>0</v>
      </c>
      <c r="H18" s="457">
        <f>+[3]Consolidado!$P$17</f>
        <v>31</v>
      </c>
      <c r="I18" s="458">
        <f>+[3]Consolidado!$Q$17</f>
        <v>0</v>
      </c>
      <c r="J18" s="459">
        <f t="shared" si="4"/>
        <v>424</v>
      </c>
      <c r="K18" s="460">
        <f t="shared" si="4"/>
        <v>0</v>
      </c>
      <c r="L18" s="456">
        <f>+[3]Consolidado!$P$19</f>
        <v>290</v>
      </c>
      <c r="M18" s="456">
        <f>+[3]Consolidado!$Q$19</f>
        <v>0</v>
      </c>
      <c r="N18" s="457">
        <f>+[3]Consolidado!$P$20</f>
        <v>55</v>
      </c>
      <c r="O18" s="458">
        <f>+[3]Consolidado!$Q$20</f>
        <v>1</v>
      </c>
      <c r="P18" s="456">
        <f>+[3]Consolidado!$P$21</f>
        <v>57</v>
      </c>
      <c r="Q18" s="456">
        <f>+[3]Consolidado!$Q$21</f>
        <v>0</v>
      </c>
      <c r="R18" s="457">
        <f>+[3]Consolidado!$P$22</f>
        <v>29</v>
      </c>
      <c r="S18" s="458">
        <f>+[3]Consolidado!$Q$22</f>
        <v>0</v>
      </c>
      <c r="T18" s="456">
        <f>+[3]Consolidado!$P$23</f>
        <v>99</v>
      </c>
      <c r="U18" s="456">
        <f>+[3]Consolidado!$Q$23</f>
        <v>0</v>
      </c>
      <c r="V18" s="457">
        <f>+[3]Consolidado!$P$24</f>
        <v>64</v>
      </c>
      <c r="W18" s="458">
        <f>+[3]Consolidado!$Q$24</f>
        <v>0</v>
      </c>
      <c r="X18" s="461">
        <f t="shared" si="5"/>
        <v>594</v>
      </c>
      <c r="Y18" s="462">
        <f t="shared" si="5"/>
        <v>1</v>
      </c>
      <c r="Z18" s="461">
        <f t="shared" si="6"/>
        <v>1018</v>
      </c>
      <c r="AA18" s="462">
        <f t="shared" si="6"/>
        <v>1</v>
      </c>
    </row>
    <row r="19" spans="1:27" ht="18.75" customHeight="1">
      <c r="A19" s="252" t="s">
        <v>1001</v>
      </c>
      <c r="B19" s="456">
        <f>+[3]Consolidado!$R$14+[3]Consolidado!$T$14</f>
        <v>71</v>
      </c>
      <c r="C19" s="456">
        <f>+[3]Consolidado!$S$14+[3]Consolidado!$U$14</f>
        <v>0</v>
      </c>
      <c r="D19" s="457">
        <f>+[3]Consolidado!$R$15+[3]Consolidado!$T$15</f>
        <v>17</v>
      </c>
      <c r="E19" s="458">
        <f>+[3]Consolidado!$S$15+[3]Consolidado!$U$15</f>
        <v>0</v>
      </c>
      <c r="F19" s="456">
        <f>+[3]Consolidado!$R$16+[3]Consolidado!$T$16</f>
        <v>7</v>
      </c>
      <c r="G19" s="456">
        <f>+[3]Consolidado!$S$16+[3]Consolidado!$U$16</f>
        <v>0</v>
      </c>
      <c r="H19" s="457">
        <f>+[3]Consolidado!$R$17+[3]Consolidado!$T$17</f>
        <v>19</v>
      </c>
      <c r="I19" s="458">
        <f>+[3]Consolidado!$S$17+[3]Consolidado!$U$17</f>
        <v>0</v>
      </c>
      <c r="J19" s="459">
        <f t="shared" si="4"/>
        <v>114</v>
      </c>
      <c r="K19" s="460">
        <f t="shared" si="4"/>
        <v>0</v>
      </c>
      <c r="L19" s="456">
        <f>+[3]Consolidado!$R$19+[3]Consolidado!$T$19</f>
        <v>88</v>
      </c>
      <c r="M19" s="456">
        <f>+[3]Consolidado!$S$19+[3]Consolidado!$U$19</f>
        <v>0</v>
      </c>
      <c r="N19" s="457">
        <f>+[3]Consolidado!$R$20+[3]Consolidado!$T$20</f>
        <v>8</v>
      </c>
      <c r="O19" s="458">
        <f>+[3]Consolidado!$S$20+[3]Consolidado!$U$20</f>
        <v>0</v>
      </c>
      <c r="P19" s="456">
        <f>+[3]Consolidado!$R$21+[3]Consolidado!$T$21</f>
        <v>17</v>
      </c>
      <c r="Q19" s="456">
        <f>+[3]Consolidado!$S$21+[3]Consolidado!$U$21</f>
        <v>0</v>
      </c>
      <c r="R19" s="457">
        <f>+[3]Consolidado!$R$22+[3]Consolidado!$T$22</f>
        <v>9</v>
      </c>
      <c r="S19" s="458">
        <f>+[3]Consolidado!$S$22+[3]Consolidado!$U$22</f>
        <v>0</v>
      </c>
      <c r="T19" s="456">
        <f>+[3]Consolidado!$R$23+[3]Consolidado!$T$23</f>
        <v>28</v>
      </c>
      <c r="U19" s="456">
        <f>+[3]Consolidado!$S$23+[3]Consolidado!$U$23</f>
        <v>0</v>
      </c>
      <c r="V19" s="457">
        <f>+[3]Consolidado!$R$24+[3]Consolidado!$T$24</f>
        <v>21</v>
      </c>
      <c r="W19" s="458">
        <f>+[3]Consolidado!$S$24+[3]Consolidado!$U$24</f>
        <v>0</v>
      </c>
      <c r="X19" s="461">
        <f t="shared" si="5"/>
        <v>171</v>
      </c>
      <c r="Y19" s="462">
        <f t="shared" si="5"/>
        <v>0</v>
      </c>
      <c r="Z19" s="461">
        <f t="shared" si="6"/>
        <v>285</v>
      </c>
      <c r="AA19" s="462">
        <f t="shared" si="6"/>
        <v>0</v>
      </c>
    </row>
    <row r="20" spans="1:27" ht="23.25" customHeight="1">
      <c r="A20" s="256" t="s">
        <v>706</v>
      </c>
      <c r="B20" s="464">
        <f>SUM(B16:B19)</f>
        <v>1024</v>
      </c>
      <c r="C20" s="465">
        <f t="shared" ref="C20:R20" si="7">SUM(C16:C19)</f>
        <v>8</v>
      </c>
      <c r="D20" s="464">
        <f>SUM(D16:D19)</f>
        <v>254</v>
      </c>
      <c r="E20" s="466">
        <f t="shared" si="7"/>
        <v>0</v>
      </c>
      <c r="F20" s="465">
        <f t="shared" si="7"/>
        <v>151</v>
      </c>
      <c r="G20" s="465">
        <f t="shared" si="7"/>
        <v>0</v>
      </c>
      <c r="H20" s="464">
        <f>SUM(H16:H19)</f>
        <v>132</v>
      </c>
      <c r="I20" s="466">
        <f t="shared" si="7"/>
        <v>0</v>
      </c>
      <c r="J20" s="467">
        <f t="shared" si="7"/>
        <v>1561</v>
      </c>
      <c r="K20" s="468">
        <f t="shared" si="7"/>
        <v>8</v>
      </c>
      <c r="L20" s="465">
        <f t="shared" si="7"/>
        <v>1101</v>
      </c>
      <c r="M20" s="465">
        <f t="shared" si="7"/>
        <v>7</v>
      </c>
      <c r="N20" s="464">
        <f t="shared" si="7"/>
        <v>194</v>
      </c>
      <c r="O20" s="466">
        <f t="shared" si="7"/>
        <v>2</v>
      </c>
      <c r="P20" s="465">
        <f t="shared" si="7"/>
        <v>193</v>
      </c>
      <c r="Q20" s="465">
        <f t="shared" si="7"/>
        <v>3</v>
      </c>
      <c r="R20" s="464">
        <f t="shared" si="7"/>
        <v>115</v>
      </c>
      <c r="S20" s="466">
        <f t="shared" ref="S20:AA20" si="8">SUM(S16:S19)</f>
        <v>0</v>
      </c>
      <c r="T20" s="465">
        <f t="shared" si="8"/>
        <v>392</v>
      </c>
      <c r="U20" s="465">
        <f t="shared" si="8"/>
        <v>1</v>
      </c>
      <c r="V20" s="464">
        <f t="shared" si="8"/>
        <v>197</v>
      </c>
      <c r="W20" s="466">
        <f t="shared" si="8"/>
        <v>0</v>
      </c>
      <c r="X20" s="469">
        <f t="shared" si="8"/>
        <v>2192</v>
      </c>
      <c r="Y20" s="470">
        <f t="shared" si="8"/>
        <v>13</v>
      </c>
      <c r="Z20" s="469">
        <f t="shared" si="8"/>
        <v>3753</v>
      </c>
      <c r="AA20" s="470">
        <f t="shared" si="8"/>
        <v>21</v>
      </c>
    </row>
    <row r="21" spans="1:27">
      <c r="A21" s="6"/>
      <c r="B21" s="456"/>
      <c r="C21" s="456"/>
      <c r="D21" s="456"/>
      <c r="E21" s="456"/>
      <c r="F21" s="456"/>
      <c r="G21" s="456"/>
      <c r="H21" s="456"/>
      <c r="I21" s="456"/>
      <c r="J21" s="471"/>
      <c r="K21" s="471"/>
      <c r="L21" s="456"/>
      <c r="M21" s="456"/>
      <c r="N21" s="456"/>
      <c r="O21" s="456"/>
      <c r="P21" s="456"/>
      <c r="Q21" s="456"/>
      <c r="R21" s="456"/>
      <c r="S21" s="456"/>
      <c r="T21" s="456"/>
      <c r="U21" s="456"/>
      <c r="V21" s="456"/>
      <c r="W21" s="456"/>
      <c r="X21" s="471"/>
      <c r="Y21" s="471"/>
      <c r="Z21" s="471"/>
      <c r="AA21" s="471"/>
    </row>
    <row r="22" spans="1:27">
      <c r="A22" s="6"/>
      <c r="B22" s="456"/>
      <c r="C22" s="456"/>
      <c r="D22" s="456"/>
      <c r="E22" s="456"/>
      <c r="F22" s="456"/>
      <c r="G22" s="456"/>
      <c r="H22" s="456"/>
      <c r="I22" s="456"/>
      <c r="J22" s="471"/>
      <c r="K22" s="471"/>
      <c r="L22" s="456"/>
      <c r="M22" s="456"/>
      <c r="N22" s="456"/>
      <c r="O22" s="456"/>
      <c r="P22" s="456"/>
      <c r="Q22" s="456"/>
      <c r="R22" s="456"/>
      <c r="S22" s="456"/>
      <c r="T22" s="456"/>
      <c r="U22" s="456"/>
      <c r="V22" s="456"/>
      <c r="W22" s="456"/>
      <c r="X22" s="471"/>
      <c r="Y22" s="471"/>
      <c r="Z22" s="471"/>
      <c r="AA22" s="471"/>
    </row>
    <row r="23" spans="1:27" ht="20.25" customHeight="1">
      <c r="A23" s="472" t="s">
        <v>1002</v>
      </c>
      <c r="B23" s="473"/>
      <c r="C23" s="474"/>
      <c r="D23" s="473"/>
      <c r="E23" s="475"/>
      <c r="F23" s="474"/>
      <c r="G23" s="474"/>
      <c r="H23" s="473"/>
      <c r="I23" s="475"/>
      <c r="J23" s="476">
        <f>+B23+D23+F23+H23</f>
        <v>0</v>
      </c>
      <c r="K23" s="474"/>
      <c r="L23" s="473"/>
      <c r="M23" s="475"/>
      <c r="N23" s="474"/>
      <c r="O23" s="474"/>
      <c r="P23" s="473"/>
      <c r="Q23" s="475"/>
      <c r="R23" s="474"/>
      <c r="S23" s="474"/>
      <c r="T23" s="473"/>
      <c r="U23" s="475"/>
      <c r="V23" s="474"/>
      <c r="W23" s="475"/>
      <c r="X23" s="477">
        <f>+L23+N23+P23+R23+T23+V23</f>
        <v>0</v>
      </c>
      <c r="Y23" s="478"/>
      <c r="Z23" s="477">
        <f>+X23+J23</f>
        <v>0</v>
      </c>
      <c r="AA23" s="478"/>
    </row>
    <row r="24" spans="1:27" ht="20.25" customHeight="1">
      <c r="A24" s="479" t="s">
        <v>1003</v>
      </c>
      <c r="B24" s="480">
        <f>+B23/B20*100</f>
        <v>0</v>
      </c>
      <c r="C24" s="465"/>
      <c r="D24" s="480">
        <f>+D23/D20*100</f>
        <v>0</v>
      </c>
      <c r="E24" s="466"/>
      <c r="F24" s="481">
        <f>+F23/F20*100</f>
        <v>0</v>
      </c>
      <c r="G24" s="465"/>
      <c r="H24" s="480">
        <f>+H23/H20*100</f>
        <v>0</v>
      </c>
      <c r="I24" s="466"/>
      <c r="J24" s="482">
        <f>+J23/J20*100</f>
        <v>0</v>
      </c>
      <c r="K24" s="483"/>
      <c r="L24" s="480">
        <f>+L23/L20*100</f>
        <v>0</v>
      </c>
      <c r="M24" s="466"/>
      <c r="N24" s="481">
        <f>+N23/N20*100</f>
        <v>0</v>
      </c>
      <c r="O24" s="465"/>
      <c r="P24" s="480">
        <f>+P23/P20*100</f>
        <v>0</v>
      </c>
      <c r="Q24" s="466"/>
      <c r="R24" s="481">
        <f>+R23/R20*100</f>
        <v>0</v>
      </c>
      <c r="S24" s="465"/>
      <c r="T24" s="480">
        <f>+T23/T20*100</f>
        <v>0</v>
      </c>
      <c r="U24" s="466"/>
      <c r="V24" s="481">
        <f>+V23/V20*100</f>
        <v>0</v>
      </c>
      <c r="W24" s="466"/>
      <c r="X24" s="484">
        <f>+X23/X20*100</f>
        <v>0</v>
      </c>
      <c r="Y24" s="470"/>
      <c r="Z24" s="484">
        <f>+Z23/Z20*100</f>
        <v>0</v>
      </c>
      <c r="AA24" s="470"/>
    </row>
  </sheetData>
  <phoneticPr fontId="19" type="noConversion"/>
  <pageMargins left="1.1811023622047245" right="0.59055118110236227" top="1.5748031496062993" bottom="0.98425196850393704" header="0.51181102362204722" footer="0.51181102362204722"/>
  <pageSetup paperSize="5" scale="95" orientation="landscape" horizontalDpi="300" verticalDpi="300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6"/>
  <sheetViews>
    <sheetView topLeftCell="G22" workbookViewId="0">
      <selection activeCell="W15" sqref="W15"/>
    </sheetView>
  </sheetViews>
  <sheetFormatPr baseColWidth="10" defaultRowHeight="12.75"/>
  <cols>
    <col min="1" max="1" width="28" customWidth="1"/>
    <col min="2" max="2" width="5.5703125" customWidth="1"/>
    <col min="3" max="3" width="6.28515625" customWidth="1"/>
    <col min="4" max="4" width="6.140625" customWidth="1"/>
    <col min="5" max="5" width="6" customWidth="1"/>
    <col min="6" max="6" width="6.28515625" customWidth="1"/>
    <col min="7" max="7" width="6.140625" customWidth="1"/>
    <col min="8" max="8" width="6" customWidth="1"/>
    <col min="9" max="9" width="6.140625" customWidth="1"/>
    <col min="10" max="11" width="5.85546875" customWidth="1"/>
    <col min="12" max="12" width="5.7109375" customWidth="1"/>
    <col min="13" max="13" width="6" customWidth="1"/>
    <col min="14" max="15" width="5.7109375" customWidth="1"/>
    <col min="16" max="16" width="6" customWidth="1"/>
    <col min="17" max="17" width="5.42578125" customWidth="1"/>
    <col min="18" max="18" width="5.85546875" customWidth="1"/>
    <col min="19" max="19" width="5.7109375" customWidth="1"/>
    <col min="20" max="20" width="6.140625" customWidth="1"/>
    <col min="21" max="22" width="5.7109375" customWidth="1"/>
    <col min="23" max="23" width="5.85546875" customWidth="1"/>
    <col min="24" max="25" width="6.140625" customWidth="1"/>
  </cols>
  <sheetData>
    <row r="1" spans="1:25">
      <c r="A1" s="83" t="s">
        <v>1004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</row>
    <row r="2" spans="1:25">
      <c r="A2" s="83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</row>
    <row r="3" spans="1:25">
      <c r="A3" s="83" t="s">
        <v>1005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</row>
    <row r="4" spans="1: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</row>
    <row r="7" spans="1:25" ht="24" customHeight="1">
      <c r="A7" s="85"/>
      <c r="B7" s="485" t="s">
        <v>1006</v>
      </c>
      <c r="C7" s="203"/>
      <c r="D7" s="203"/>
      <c r="E7" s="203"/>
      <c r="F7" s="203"/>
      <c r="G7" s="189"/>
      <c r="H7" s="169" t="s">
        <v>1007</v>
      </c>
      <c r="I7" s="203"/>
      <c r="J7" s="203"/>
      <c r="K7" s="203"/>
      <c r="L7" s="203"/>
      <c r="M7" s="203"/>
      <c r="N7" s="485" t="s">
        <v>1008</v>
      </c>
      <c r="O7" s="203"/>
      <c r="P7" s="203"/>
      <c r="Q7" s="203"/>
      <c r="R7" s="203"/>
      <c r="S7" s="189"/>
      <c r="T7" s="169" t="s">
        <v>706</v>
      </c>
      <c r="U7" s="203"/>
      <c r="V7" s="203"/>
      <c r="W7" s="203"/>
      <c r="X7" s="203"/>
      <c r="Y7" s="189"/>
    </row>
    <row r="8" spans="1:25" ht="30" customHeight="1">
      <c r="A8" s="486" t="s">
        <v>1009</v>
      </c>
      <c r="B8" s="1163">
        <v>2009</v>
      </c>
      <c r="C8" s="1163">
        <v>2010</v>
      </c>
      <c r="D8" s="1163">
        <v>2011</v>
      </c>
      <c r="E8" s="1163">
        <v>2012</v>
      </c>
      <c r="F8" s="1163">
        <v>2013</v>
      </c>
      <c r="G8" s="50">
        <v>2014</v>
      </c>
      <c r="H8" s="50">
        <f>+B8</f>
        <v>2009</v>
      </c>
      <c r="I8" s="50">
        <f>+C8</f>
        <v>2010</v>
      </c>
      <c r="J8" s="50">
        <f>+D8</f>
        <v>2011</v>
      </c>
      <c r="K8" s="50">
        <f>+E8</f>
        <v>2012</v>
      </c>
      <c r="L8" s="50">
        <f>+F8</f>
        <v>2013</v>
      </c>
      <c r="M8" s="50">
        <f t="shared" ref="M8:S8" si="0">+G8</f>
        <v>2014</v>
      </c>
      <c r="N8" s="50">
        <f t="shared" si="0"/>
        <v>2009</v>
      </c>
      <c r="O8" s="50">
        <f t="shared" si="0"/>
        <v>2010</v>
      </c>
      <c r="P8" s="50">
        <f t="shared" si="0"/>
        <v>2011</v>
      </c>
      <c r="Q8" s="50">
        <f t="shared" si="0"/>
        <v>2012</v>
      </c>
      <c r="R8" s="50">
        <f t="shared" si="0"/>
        <v>2013</v>
      </c>
      <c r="S8" s="50">
        <f t="shared" si="0"/>
        <v>2014</v>
      </c>
      <c r="T8" s="51">
        <f t="shared" ref="T8:Y8" si="1">+N8</f>
        <v>2009</v>
      </c>
      <c r="U8" s="51">
        <f t="shared" si="1"/>
        <v>2010</v>
      </c>
      <c r="V8" s="51">
        <f t="shared" si="1"/>
        <v>2011</v>
      </c>
      <c r="W8" s="51">
        <f t="shared" si="1"/>
        <v>2012</v>
      </c>
      <c r="X8" s="51">
        <f t="shared" si="1"/>
        <v>2013</v>
      </c>
      <c r="Y8" s="51">
        <f t="shared" si="1"/>
        <v>2014</v>
      </c>
    </row>
    <row r="9" spans="1:25" ht="24.75" customHeight="1">
      <c r="A9" s="487" t="s">
        <v>1010</v>
      </c>
      <c r="B9" s="488">
        <v>1</v>
      </c>
      <c r="C9" s="488">
        <v>1</v>
      </c>
      <c r="D9" s="488">
        <v>2</v>
      </c>
      <c r="E9" s="488">
        <v>3</v>
      </c>
      <c r="F9" s="488">
        <v>1</v>
      </c>
      <c r="G9" s="488">
        <v>2</v>
      </c>
      <c r="H9" s="488">
        <v>1</v>
      </c>
      <c r="I9" s="488">
        <v>1</v>
      </c>
      <c r="J9" s="488">
        <v>3</v>
      </c>
      <c r="K9" s="488">
        <v>0</v>
      </c>
      <c r="L9" s="488">
        <v>2</v>
      </c>
      <c r="M9" s="488">
        <v>1</v>
      </c>
      <c r="N9" s="489">
        <v>0</v>
      </c>
      <c r="O9" s="489">
        <v>0</v>
      </c>
      <c r="P9" s="489">
        <v>0</v>
      </c>
      <c r="Q9" s="489">
        <v>0</v>
      </c>
      <c r="R9" s="489">
        <v>0</v>
      </c>
      <c r="S9" s="489"/>
      <c r="T9" s="488">
        <f t="shared" ref="T9:Y9" si="2">+B9+H9+N9</f>
        <v>2</v>
      </c>
      <c r="U9" s="488">
        <f t="shared" si="2"/>
        <v>2</v>
      </c>
      <c r="V9" s="488">
        <f t="shared" si="2"/>
        <v>5</v>
      </c>
      <c r="W9" s="488">
        <f t="shared" si="2"/>
        <v>3</v>
      </c>
      <c r="X9" s="488">
        <f t="shared" si="2"/>
        <v>3</v>
      </c>
      <c r="Y9" s="488">
        <f t="shared" si="2"/>
        <v>3</v>
      </c>
    </row>
    <row r="10" spans="1:25" ht="23.25" customHeight="1">
      <c r="A10" s="490" t="s">
        <v>1011</v>
      </c>
      <c r="B10" s="488">
        <v>184</v>
      </c>
      <c r="C10" s="488">
        <v>158</v>
      </c>
      <c r="D10" s="488">
        <v>149</v>
      </c>
      <c r="E10" s="488">
        <v>207</v>
      </c>
      <c r="F10" s="488">
        <v>190</v>
      </c>
      <c r="G10" s="488">
        <v>202</v>
      </c>
      <c r="H10" s="488">
        <v>117</v>
      </c>
      <c r="I10" s="488">
        <v>129</v>
      </c>
      <c r="J10" s="488">
        <v>115</v>
      </c>
      <c r="K10" s="488">
        <v>137</v>
      </c>
      <c r="L10" s="488">
        <v>138</v>
      </c>
      <c r="M10" s="488">
        <v>130</v>
      </c>
      <c r="N10" s="489">
        <v>0</v>
      </c>
      <c r="O10" s="489">
        <v>0</v>
      </c>
      <c r="P10" s="489">
        <v>0</v>
      </c>
      <c r="Q10" s="489">
        <v>0</v>
      </c>
      <c r="R10" s="489">
        <v>0</v>
      </c>
      <c r="S10" s="489"/>
      <c r="T10" s="488">
        <f>+B10+H10+N10</f>
        <v>301</v>
      </c>
      <c r="U10" s="488">
        <f t="shared" ref="U10:Y11" si="3">+C10+I10+O10</f>
        <v>287</v>
      </c>
      <c r="V10" s="488">
        <f t="shared" si="3"/>
        <v>264</v>
      </c>
      <c r="W10" s="488">
        <f t="shared" si="3"/>
        <v>344</v>
      </c>
      <c r="X10" s="488">
        <f t="shared" si="3"/>
        <v>328</v>
      </c>
      <c r="Y10" s="488">
        <f t="shared" si="3"/>
        <v>332</v>
      </c>
    </row>
    <row r="11" spans="1:25" ht="25.5" customHeight="1">
      <c r="A11" s="490" t="s">
        <v>1012</v>
      </c>
      <c r="B11" s="488">
        <v>153</v>
      </c>
      <c r="C11" s="488">
        <v>137</v>
      </c>
      <c r="D11" s="488">
        <v>133</v>
      </c>
      <c r="E11" s="488">
        <v>150</v>
      </c>
      <c r="F11" s="488">
        <v>117</v>
      </c>
      <c r="G11" s="488">
        <v>151</v>
      </c>
      <c r="H11" s="488">
        <v>96</v>
      </c>
      <c r="I11" s="488">
        <v>91</v>
      </c>
      <c r="J11" s="488">
        <v>93</v>
      </c>
      <c r="K11" s="488">
        <v>110</v>
      </c>
      <c r="L11" s="488">
        <v>86</v>
      </c>
      <c r="M11" s="488">
        <v>112</v>
      </c>
      <c r="N11" s="489">
        <v>0</v>
      </c>
      <c r="O11" s="489">
        <v>0</v>
      </c>
      <c r="P11" s="489">
        <v>0</v>
      </c>
      <c r="Q11" s="489">
        <v>0</v>
      </c>
      <c r="R11" s="489">
        <v>0</v>
      </c>
      <c r="S11" s="489"/>
      <c r="T11" s="488">
        <f>+B11+H11+N11</f>
        <v>249</v>
      </c>
      <c r="U11" s="488">
        <f t="shared" si="3"/>
        <v>228</v>
      </c>
      <c r="V11" s="488">
        <f t="shared" si="3"/>
        <v>226</v>
      </c>
      <c r="W11" s="488">
        <f t="shared" si="3"/>
        <v>260</v>
      </c>
      <c r="X11" s="488">
        <f t="shared" si="3"/>
        <v>203</v>
      </c>
      <c r="Y11" s="488">
        <f t="shared" si="3"/>
        <v>263</v>
      </c>
    </row>
    <row r="12" spans="1:25" ht="25.5" customHeight="1">
      <c r="A12" s="491" t="s">
        <v>571</v>
      </c>
      <c r="B12" s="488">
        <f t="shared" ref="B12:G12" si="4">SUM(B9:B11)</f>
        <v>338</v>
      </c>
      <c r="C12" s="489">
        <f t="shared" si="4"/>
        <v>296</v>
      </c>
      <c r="D12" s="489">
        <f t="shared" si="4"/>
        <v>284</v>
      </c>
      <c r="E12" s="489">
        <f t="shared" si="4"/>
        <v>360</v>
      </c>
      <c r="F12" s="489">
        <f t="shared" si="4"/>
        <v>308</v>
      </c>
      <c r="G12" s="489">
        <f t="shared" si="4"/>
        <v>355</v>
      </c>
      <c r="H12" s="488">
        <f>SUM(H9:H11)-H13</f>
        <v>207</v>
      </c>
      <c r="I12" s="488">
        <f>SUM(I9:I11)-I13</f>
        <v>219</v>
      </c>
      <c r="J12" s="488">
        <f>SUM(J9:J11)-J13</f>
        <v>206</v>
      </c>
      <c r="K12" s="488">
        <f>SUM(K9:K11)-K13</f>
        <v>243</v>
      </c>
      <c r="L12" s="488">
        <f>SUM(L9:L11)</f>
        <v>226</v>
      </c>
      <c r="M12" s="488">
        <f>SUM(M9:M11)</f>
        <v>243</v>
      </c>
      <c r="N12" s="488">
        <f t="shared" ref="N12:S12" si="5">SUM(N9:N11)</f>
        <v>0</v>
      </c>
      <c r="O12" s="488">
        <f t="shared" si="5"/>
        <v>0</v>
      </c>
      <c r="P12" s="488">
        <f t="shared" si="5"/>
        <v>0</v>
      </c>
      <c r="Q12" s="488">
        <f t="shared" si="5"/>
        <v>0</v>
      </c>
      <c r="R12" s="489">
        <f t="shared" si="5"/>
        <v>0</v>
      </c>
      <c r="S12" s="489">
        <f t="shared" si="5"/>
        <v>0</v>
      </c>
      <c r="T12" s="488">
        <f t="shared" ref="T12:Y12" si="6">SUM(T9:T11)-T13</f>
        <v>545</v>
      </c>
      <c r="U12" s="488">
        <f t="shared" si="6"/>
        <v>515</v>
      </c>
      <c r="V12" s="488">
        <f t="shared" si="6"/>
        <v>490</v>
      </c>
      <c r="W12" s="488">
        <f t="shared" si="6"/>
        <v>603</v>
      </c>
      <c r="X12" s="488">
        <f t="shared" si="6"/>
        <v>532</v>
      </c>
      <c r="Y12" s="488">
        <f t="shared" si="6"/>
        <v>593</v>
      </c>
    </row>
    <row r="13" spans="1:25" ht="25.5" customHeight="1">
      <c r="A13" s="492" t="s">
        <v>1013</v>
      </c>
      <c r="B13" s="488"/>
      <c r="C13" s="488"/>
      <c r="D13" s="488"/>
      <c r="E13" s="488"/>
      <c r="F13" s="488"/>
      <c r="G13" s="488"/>
      <c r="H13" s="488">
        <v>7</v>
      </c>
      <c r="I13" s="488">
        <v>2</v>
      </c>
      <c r="J13" s="488">
        <v>5</v>
      </c>
      <c r="K13" s="488">
        <v>4</v>
      </c>
      <c r="L13" s="488">
        <v>2</v>
      </c>
      <c r="M13" s="488">
        <v>5</v>
      </c>
      <c r="N13" s="488"/>
      <c r="O13" s="488"/>
      <c r="P13" s="488"/>
      <c r="Q13" s="488"/>
      <c r="R13" s="488"/>
      <c r="S13" s="488"/>
      <c r="T13" s="488">
        <f t="shared" ref="T13:Y13" si="7">+H13</f>
        <v>7</v>
      </c>
      <c r="U13" s="488">
        <f t="shared" si="7"/>
        <v>2</v>
      </c>
      <c r="V13" s="488">
        <f t="shared" si="7"/>
        <v>5</v>
      </c>
      <c r="W13" s="488">
        <f t="shared" si="7"/>
        <v>4</v>
      </c>
      <c r="X13" s="488">
        <f t="shared" si="7"/>
        <v>2</v>
      </c>
      <c r="Y13" s="488">
        <f t="shared" si="7"/>
        <v>5</v>
      </c>
    </row>
    <row r="14" spans="1:25" ht="20.25" customHeight="1">
      <c r="A14" s="1234"/>
      <c r="B14" s="1233"/>
      <c r="C14" s="1233"/>
      <c r="D14" s="1233"/>
      <c r="E14" s="1233"/>
      <c r="F14" s="1233"/>
      <c r="G14" s="1233"/>
      <c r="H14" s="1233"/>
      <c r="I14" s="1233"/>
      <c r="J14" s="1233"/>
      <c r="K14" s="1233"/>
      <c r="L14" s="1233"/>
      <c r="M14" s="1233"/>
      <c r="N14" s="1233"/>
      <c r="O14" s="1233"/>
      <c r="P14" s="1233"/>
      <c r="Q14" s="1233"/>
      <c r="R14" s="1233"/>
      <c r="S14" s="1233"/>
      <c r="T14" s="305"/>
      <c r="U14" s="305"/>
      <c r="V14" s="305"/>
      <c r="W14" s="305"/>
      <c r="X14" s="305"/>
      <c r="Y14" s="305"/>
    </row>
    <row r="15" spans="1:25" ht="15.75" customHeight="1">
      <c r="A15" s="1233"/>
      <c r="B15" s="1233"/>
      <c r="C15" s="1233"/>
      <c r="D15" s="1233"/>
      <c r="E15" s="1233"/>
      <c r="F15" s="1233"/>
      <c r="G15" s="1233"/>
      <c r="H15" s="1233"/>
      <c r="I15" s="1233"/>
      <c r="J15" s="1233"/>
      <c r="K15" s="1233"/>
      <c r="L15" s="1233"/>
      <c r="M15" s="1233"/>
      <c r="N15" s="1233"/>
      <c r="O15" s="1233"/>
      <c r="P15" s="1233"/>
      <c r="Q15" s="305"/>
      <c r="R15" s="305"/>
      <c r="S15" s="305"/>
      <c r="T15" s="305"/>
      <c r="U15" s="305"/>
      <c r="V15" s="305"/>
      <c r="W15" s="305"/>
      <c r="X15" s="305"/>
      <c r="Y15" s="305"/>
    </row>
    <row r="16" spans="1:25" ht="12.75" customHeight="1">
      <c r="A16" s="493"/>
      <c r="B16" s="493"/>
      <c r="C16" s="493"/>
      <c r="D16" s="493"/>
      <c r="E16" s="493"/>
      <c r="F16" s="493"/>
      <c r="G16" s="493"/>
      <c r="H16" s="493"/>
      <c r="I16" s="493"/>
      <c r="J16" s="493"/>
      <c r="K16" s="493"/>
      <c r="L16" s="493"/>
      <c r="M16" s="493"/>
      <c r="N16" s="493"/>
      <c r="O16" s="493"/>
      <c r="P16" s="493"/>
      <c r="Q16" s="493"/>
      <c r="R16" s="493"/>
      <c r="S16" s="493"/>
      <c r="T16" s="493"/>
      <c r="U16" s="493"/>
      <c r="V16" s="493"/>
      <c r="W16" s="493"/>
      <c r="X16" s="493"/>
      <c r="Y16" s="493"/>
    </row>
  </sheetData>
  <mergeCells count="2">
    <mergeCell ref="A15:P15"/>
    <mergeCell ref="A14:S14"/>
  </mergeCells>
  <phoneticPr fontId="19" type="noConversion"/>
  <pageMargins left="1.1811023622047245" right="0.59055118110236227" top="0.98425196850393704" bottom="0.98425196850393704" header="0.51181102362204722" footer="0.51181102362204722"/>
  <pageSetup paperSize="5" scale="85" orientation="landscape" horizontalDpi="300" verticalDpi="300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53"/>
  <sheetViews>
    <sheetView topLeftCell="N42" workbookViewId="0">
      <selection activeCell="AD44" sqref="AD44"/>
    </sheetView>
  </sheetViews>
  <sheetFormatPr baseColWidth="10" defaultRowHeight="12.75"/>
  <cols>
    <col min="1" max="1" width="12.42578125" customWidth="1"/>
    <col min="2" max="2" width="17.85546875" customWidth="1"/>
    <col min="3" max="26" width="7.140625" customWidth="1"/>
    <col min="27" max="27" width="8.7109375" customWidth="1"/>
    <col min="28" max="28" width="8.85546875" customWidth="1"/>
    <col min="29" max="29" width="8.5703125" customWidth="1"/>
    <col min="30" max="30" width="9.140625" customWidth="1"/>
  </cols>
  <sheetData>
    <row r="1" spans="1:30">
      <c r="A1" s="1225" t="s">
        <v>1014</v>
      </c>
      <c r="B1" s="1225"/>
      <c r="C1" s="1225"/>
      <c r="D1" s="1225"/>
      <c r="E1" s="1225"/>
      <c r="F1" s="1225"/>
      <c r="G1" s="1225"/>
      <c r="H1" s="1225"/>
      <c r="I1" s="1225"/>
      <c r="J1" s="1225"/>
      <c r="K1" s="1225"/>
      <c r="L1" s="1225"/>
      <c r="M1" s="1225"/>
      <c r="N1" s="1225"/>
      <c r="O1" s="1225"/>
      <c r="P1" s="1225"/>
      <c r="Q1" s="1225"/>
      <c r="R1" s="1225"/>
      <c r="S1" s="1225"/>
      <c r="T1" s="1225"/>
      <c r="U1" s="1225"/>
      <c r="V1" s="1225"/>
      <c r="W1" s="1225"/>
      <c r="X1" s="1225"/>
      <c r="Y1" s="1225"/>
      <c r="Z1" s="1225"/>
      <c r="AA1" s="1225"/>
      <c r="AB1" s="1225"/>
      <c r="AC1" s="1225"/>
      <c r="AD1" s="1225"/>
    </row>
    <row r="2" spans="1:30">
      <c r="A2" s="1225" t="s">
        <v>1015</v>
      </c>
      <c r="B2" s="1225"/>
      <c r="C2" s="1225"/>
      <c r="D2" s="1225"/>
      <c r="E2" s="1225"/>
      <c r="F2" s="1225"/>
      <c r="G2" s="1225"/>
      <c r="H2" s="1225"/>
      <c r="I2" s="1225"/>
      <c r="J2" s="1225"/>
      <c r="K2" s="1225"/>
      <c r="L2" s="1225"/>
      <c r="M2" s="1225"/>
      <c r="N2" s="1225"/>
      <c r="O2" s="1225"/>
      <c r="P2" s="1225"/>
      <c r="Q2" s="1225"/>
      <c r="R2" s="1225"/>
      <c r="S2" s="1225"/>
      <c r="T2" s="1225"/>
      <c r="U2" s="1225"/>
      <c r="V2" s="1225"/>
      <c r="W2" s="1225"/>
      <c r="X2" s="1225"/>
      <c r="Y2" s="1225"/>
      <c r="Z2" s="1225"/>
      <c r="AA2" s="1225"/>
      <c r="AB2" s="1225"/>
      <c r="AC2" s="1225"/>
      <c r="AD2" s="1225"/>
    </row>
    <row r="3" spans="1:30">
      <c r="A3" s="1225" t="s">
        <v>970</v>
      </c>
      <c r="B3" s="1225"/>
      <c r="C3" s="1225"/>
      <c r="D3" s="1225"/>
      <c r="E3" s="1225"/>
      <c r="F3" s="1225"/>
      <c r="G3" s="1225"/>
      <c r="H3" s="1225"/>
      <c r="I3" s="1225"/>
      <c r="J3" s="1225"/>
      <c r="K3" s="1225"/>
      <c r="L3" s="1225"/>
      <c r="M3" s="1225"/>
      <c r="N3" s="1225"/>
      <c r="O3" s="1225"/>
      <c r="P3" s="1225"/>
      <c r="Q3" s="1225"/>
      <c r="R3" s="1225"/>
      <c r="S3" s="1225"/>
      <c r="T3" s="1225"/>
      <c r="U3" s="1225"/>
      <c r="V3" s="1225"/>
      <c r="W3" s="1225"/>
      <c r="X3" s="1225"/>
      <c r="Y3" s="1225"/>
      <c r="Z3" s="1225"/>
      <c r="AA3" s="1225"/>
      <c r="AB3" s="1225"/>
      <c r="AC3" s="1225"/>
      <c r="AD3" s="1225"/>
    </row>
    <row r="4" spans="1:30">
      <c r="A4" s="1225" t="s">
        <v>1440</v>
      </c>
      <c r="B4" s="1225"/>
      <c r="C4" s="1225"/>
      <c r="D4" s="1225"/>
      <c r="E4" s="1225"/>
      <c r="F4" s="1225"/>
      <c r="G4" s="1225"/>
      <c r="H4" s="1225"/>
      <c r="I4" s="1225"/>
      <c r="J4" s="1225"/>
      <c r="K4" s="1225"/>
      <c r="L4" s="1225"/>
      <c r="M4" s="1225"/>
      <c r="N4" s="1225"/>
      <c r="O4" s="1225"/>
      <c r="P4" s="1225"/>
      <c r="Q4" s="1225"/>
      <c r="R4" s="1225"/>
      <c r="S4" s="1225"/>
      <c r="T4" s="1225"/>
      <c r="U4" s="1225"/>
      <c r="V4" s="1225"/>
      <c r="W4" s="1225"/>
      <c r="X4" s="1225"/>
      <c r="Y4" s="1225"/>
      <c r="Z4" s="1225"/>
      <c r="AA4" s="1225"/>
      <c r="AB4" s="1225"/>
      <c r="AC4" s="1225"/>
      <c r="AD4" s="1225"/>
    </row>
    <row r="5" spans="1:30">
      <c r="A5" s="406"/>
      <c r="B5" s="406"/>
      <c r="C5" s="406"/>
      <c r="D5" s="406"/>
      <c r="E5" s="406"/>
      <c r="F5" s="406"/>
      <c r="G5" s="406"/>
      <c r="H5" s="406"/>
      <c r="I5" s="406"/>
      <c r="J5" s="406"/>
      <c r="K5" s="406"/>
      <c r="L5" s="406"/>
      <c r="M5" s="406"/>
      <c r="N5" s="406"/>
      <c r="O5" s="406"/>
      <c r="P5" s="406"/>
      <c r="Q5" s="406"/>
      <c r="R5" s="406"/>
      <c r="S5" s="406"/>
      <c r="T5" s="406"/>
      <c r="U5" s="406"/>
      <c r="V5" s="406"/>
      <c r="W5" s="406"/>
      <c r="X5" s="406"/>
      <c r="Y5" s="406"/>
      <c r="Z5" s="406"/>
      <c r="AA5" s="406"/>
      <c r="AB5" s="406"/>
      <c r="AC5" s="406"/>
      <c r="AD5" s="406"/>
    </row>
    <row r="6" spans="1:30">
      <c r="A6" s="406"/>
      <c r="B6" s="406"/>
      <c r="C6" s="406"/>
      <c r="D6" s="406"/>
      <c r="E6" s="406"/>
      <c r="F6" s="406"/>
      <c r="G6" s="406"/>
      <c r="H6" s="406"/>
      <c r="I6" s="406"/>
      <c r="J6" s="406"/>
      <c r="K6" s="406"/>
      <c r="L6" s="406"/>
      <c r="M6" s="406"/>
      <c r="N6" s="406"/>
      <c r="O6" s="406"/>
      <c r="P6" s="406"/>
      <c r="Q6" s="406"/>
      <c r="R6" s="406"/>
      <c r="S6" s="406"/>
      <c r="T6" s="406"/>
      <c r="U6" s="406"/>
      <c r="V6" s="406"/>
      <c r="W6" s="406"/>
      <c r="X6" s="406"/>
      <c r="Y6" s="406"/>
      <c r="Z6" s="406"/>
      <c r="AA6" s="406"/>
      <c r="AB6" s="406"/>
      <c r="AC6" s="406"/>
      <c r="AD6" s="406"/>
    </row>
    <row r="7" spans="1:30" s="6" customFormat="1" ht="22.5" customHeight="1">
      <c r="A7" s="473" t="s">
        <v>590</v>
      </c>
      <c r="B7" s="494" t="s">
        <v>926</v>
      </c>
      <c r="C7" s="1220" t="s">
        <v>1016</v>
      </c>
      <c r="D7" s="1221"/>
      <c r="E7" s="1221"/>
      <c r="F7" s="1222"/>
      <c r="G7" s="1221" t="s">
        <v>1017</v>
      </c>
      <c r="H7" s="1221"/>
      <c r="I7" s="1217"/>
      <c r="J7" s="1221"/>
      <c r="K7" s="1220" t="s">
        <v>1018</v>
      </c>
      <c r="L7" s="1221"/>
      <c r="M7" s="1217"/>
      <c r="N7" s="1222"/>
      <c r="O7" s="1221" t="s">
        <v>1019</v>
      </c>
      <c r="P7" s="1221"/>
      <c r="Q7" s="1221"/>
      <c r="R7" s="1221"/>
      <c r="S7" s="1220" t="s">
        <v>1020</v>
      </c>
      <c r="T7" s="1221"/>
      <c r="U7" s="1221"/>
      <c r="V7" s="1222"/>
      <c r="W7" s="1221" t="s">
        <v>1021</v>
      </c>
      <c r="X7" s="1221"/>
      <c r="Y7" s="1221"/>
      <c r="Z7" s="1221"/>
      <c r="AA7" s="1220" t="s">
        <v>706</v>
      </c>
      <c r="AB7" s="1221"/>
      <c r="AC7" s="1221"/>
      <c r="AD7" s="1222"/>
    </row>
    <row r="8" spans="1:30" s="6" customFormat="1" ht="22.5" customHeight="1">
      <c r="A8" s="495"/>
      <c r="B8" s="495"/>
      <c r="C8" s="496">
        <v>2011</v>
      </c>
      <c r="D8" s="497">
        <v>2012</v>
      </c>
      <c r="E8" s="497">
        <v>2013</v>
      </c>
      <c r="F8" s="498">
        <v>2014</v>
      </c>
      <c r="G8" s="497">
        <f>+C8</f>
        <v>2011</v>
      </c>
      <c r="H8" s="497">
        <f>+D8</f>
        <v>2012</v>
      </c>
      <c r="I8" s="497">
        <f>+E8</f>
        <v>2013</v>
      </c>
      <c r="J8" s="497">
        <f t="shared" ref="J8:AD8" si="0">+F8</f>
        <v>2014</v>
      </c>
      <c r="K8" s="496">
        <f>+G8</f>
        <v>2011</v>
      </c>
      <c r="L8" s="497">
        <f>+H8</f>
        <v>2012</v>
      </c>
      <c r="M8" s="497">
        <f>+I8</f>
        <v>2013</v>
      </c>
      <c r="N8" s="498">
        <f t="shared" si="0"/>
        <v>2014</v>
      </c>
      <c r="O8" s="497">
        <f t="shared" si="0"/>
        <v>2011</v>
      </c>
      <c r="P8" s="497">
        <f t="shared" si="0"/>
        <v>2012</v>
      </c>
      <c r="Q8" s="497">
        <f t="shared" si="0"/>
        <v>2013</v>
      </c>
      <c r="R8" s="497">
        <f t="shared" si="0"/>
        <v>2014</v>
      </c>
      <c r="S8" s="496">
        <f t="shared" si="0"/>
        <v>2011</v>
      </c>
      <c r="T8" s="497">
        <f t="shared" si="0"/>
        <v>2012</v>
      </c>
      <c r="U8" s="497">
        <f t="shared" si="0"/>
        <v>2013</v>
      </c>
      <c r="V8" s="498">
        <f t="shared" si="0"/>
        <v>2014</v>
      </c>
      <c r="W8" s="496">
        <f t="shared" si="0"/>
        <v>2011</v>
      </c>
      <c r="X8" s="497">
        <f t="shared" si="0"/>
        <v>2012</v>
      </c>
      <c r="Y8" s="497">
        <f t="shared" si="0"/>
        <v>2013</v>
      </c>
      <c r="Z8" s="498">
        <f t="shared" si="0"/>
        <v>2014</v>
      </c>
      <c r="AA8" s="496">
        <f t="shared" si="0"/>
        <v>2011</v>
      </c>
      <c r="AB8" s="497">
        <f t="shared" si="0"/>
        <v>2012</v>
      </c>
      <c r="AC8" s="497">
        <f t="shared" si="0"/>
        <v>2013</v>
      </c>
      <c r="AD8" s="498">
        <f t="shared" si="0"/>
        <v>2014</v>
      </c>
    </row>
    <row r="9" spans="1:30" s="6" customFormat="1" ht="22.5" customHeight="1">
      <c r="A9" s="499" t="s">
        <v>1022</v>
      </c>
      <c r="B9" s="499" t="s">
        <v>887</v>
      </c>
      <c r="C9" s="377">
        <v>3064</v>
      </c>
      <c r="D9" s="378">
        <v>3073</v>
      </c>
      <c r="E9" s="378">
        <v>2388</v>
      </c>
      <c r="F9" s="500">
        <v>3001</v>
      </c>
      <c r="G9" s="378">
        <v>1005</v>
      </c>
      <c r="H9" s="378">
        <v>2087</v>
      </c>
      <c r="I9" s="378">
        <v>2242</v>
      </c>
      <c r="J9" s="500">
        <v>2284</v>
      </c>
      <c r="K9" s="378">
        <v>44</v>
      </c>
      <c r="L9" s="378">
        <v>171</v>
      </c>
      <c r="M9" s="378">
        <v>153</v>
      </c>
      <c r="N9" s="500">
        <v>128</v>
      </c>
      <c r="O9" s="378">
        <v>1632</v>
      </c>
      <c r="P9" s="378">
        <v>1325</v>
      </c>
      <c r="Q9" s="378">
        <v>1141</v>
      </c>
      <c r="R9" s="500">
        <v>1080</v>
      </c>
      <c r="S9" s="378">
        <v>57</v>
      </c>
      <c r="T9" s="378">
        <v>32</v>
      </c>
      <c r="U9" s="378">
        <v>16</v>
      </c>
      <c r="V9" s="500">
        <v>40</v>
      </c>
      <c r="W9" s="503">
        <v>1004</v>
      </c>
      <c r="X9" s="378">
        <v>919</v>
      </c>
      <c r="Y9" s="378">
        <v>873</v>
      </c>
      <c r="Z9" s="378">
        <v>149</v>
      </c>
      <c r="AA9" s="377">
        <f t="shared" ref="AA9:AD12" si="1">+W9+S9+O9+K9+G9+C9</f>
        <v>6806</v>
      </c>
      <c r="AB9" s="378">
        <f t="shared" si="1"/>
        <v>7607</v>
      </c>
      <c r="AC9" s="378">
        <f t="shared" si="1"/>
        <v>6813</v>
      </c>
      <c r="AD9" s="500">
        <f t="shared" si="1"/>
        <v>6682</v>
      </c>
    </row>
    <row r="10" spans="1:30" s="6" customFormat="1" ht="22.5" customHeight="1">
      <c r="A10" s="499"/>
      <c r="B10" s="499" t="s">
        <v>888</v>
      </c>
      <c r="C10" s="377">
        <v>6885</v>
      </c>
      <c r="D10" s="378">
        <v>7131</v>
      </c>
      <c r="E10" s="378">
        <v>5104</v>
      </c>
      <c r="F10" s="500">
        <v>4437</v>
      </c>
      <c r="G10" s="378">
        <v>1899</v>
      </c>
      <c r="H10" s="378">
        <v>2121</v>
      </c>
      <c r="I10" s="378">
        <v>2168</v>
      </c>
      <c r="J10" s="500">
        <v>2974</v>
      </c>
      <c r="K10" s="378">
        <v>418</v>
      </c>
      <c r="L10" s="378">
        <v>345</v>
      </c>
      <c r="M10" s="378">
        <v>349</v>
      </c>
      <c r="N10" s="500">
        <v>463</v>
      </c>
      <c r="O10" s="378">
        <v>2621</v>
      </c>
      <c r="P10" s="378">
        <v>2360</v>
      </c>
      <c r="Q10" s="378">
        <v>1802</v>
      </c>
      <c r="R10" s="500">
        <v>2025</v>
      </c>
      <c r="S10" s="378">
        <v>95</v>
      </c>
      <c r="T10" s="378">
        <v>106</v>
      </c>
      <c r="U10" s="378">
        <v>89</v>
      </c>
      <c r="V10" s="500">
        <v>128</v>
      </c>
      <c r="W10" s="378">
        <v>1530</v>
      </c>
      <c r="X10" s="378">
        <v>1566</v>
      </c>
      <c r="Y10" s="378">
        <v>1508</v>
      </c>
      <c r="Z10" s="378">
        <v>17</v>
      </c>
      <c r="AA10" s="377">
        <f t="shared" si="1"/>
        <v>13448</v>
      </c>
      <c r="AB10" s="378">
        <f t="shared" si="1"/>
        <v>13629</v>
      </c>
      <c r="AC10" s="378">
        <f t="shared" si="1"/>
        <v>11020</v>
      </c>
      <c r="AD10" s="500">
        <f t="shared" si="1"/>
        <v>10044</v>
      </c>
    </row>
    <row r="11" spans="1:30" s="6" customFormat="1" ht="22.5" customHeight="1">
      <c r="A11" s="499"/>
      <c r="B11" s="499" t="s">
        <v>889</v>
      </c>
      <c r="C11" s="377">
        <v>756</v>
      </c>
      <c r="D11" s="378">
        <v>1184</v>
      </c>
      <c r="E11" s="378">
        <v>871</v>
      </c>
      <c r="F11" s="500">
        <v>1126</v>
      </c>
      <c r="G11" s="378">
        <v>254</v>
      </c>
      <c r="H11" s="378">
        <v>413</v>
      </c>
      <c r="I11" s="378">
        <v>397</v>
      </c>
      <c r="J11" s="500">
        <v>481</v>
      </c>
      <c r="K11" s="378">
        <v>4</v>
      </c>
      <c r="L11" s="378">
        <v>21</v>
      </c>
      <c r="M11" s="378">
        <v>27</v>
      </c>
      <c r="N11" s="500">
        <v>40</v>
      </c>
      <c r="O11" s="378">
        <v>371</v>
      </c>
      <c r="P11" s="378">
        <v>322</v>
      </c>
      <c r="Q11" s="378">
        <v>315</v>
      </c>
      <c r="R11" s="500">
        <v>220</v>
      </c>
      <c r="S11" s="378">
        <v>4</v>
      </c>
      <c r="T11" s="378">
        <v>3</v>
      </c>
      <c r="U11" s="378">
        <v>9</v>
      </c>
      <c r="V11" s="500">
        <v>37</v>
      </c>
      <c r="W11" s="378">
        <v>250</v>
      </c>
      <c r="X11" s="378">
        <v>211</v>
      </c>
      <c r="Y11" s="378">
        <v>225</v>
      </c>
      <c r="Z11" s="378"/>
      <c r="AA11" s="377">
        <f t="shared" si="1"/>
        <v>1639</v>
      </c>
      <c r="AB11" s="378">
        <f t="shared" si="1"/>
        <v>2154</v>
      </c>
      <c r="AC11" s="378">
        <f t="shared" si="1"/>
        <v>1844</v>
      </c>
      <c r="AD11" s="500">
        <f t="shared" si="1"/>
        <v>1904</v>
      </c>
    </row>
    <row r="12" spans="1:30" s="6" customFormat="1" ht="22.5" customHeight="1">
      <c r="A12" s="499"/>
      <c r="B12" s="303" t="s">
        <v>1357</v>
      </c>
      <c r="C12" s="377"/>
      <c r="D12" s="378">
        <v>210</v>
      </c>
      <c r="E12" s="378">
        <v>193</v>
      </c>
      <c r="F12" s="541">
        <v>173</v>
      </c>
      <c r="G12" s="378"/>
      <c r="H12" s="378">
        <v>98</v>
      </c>
      <c r="I12" s="378"/>
      <c r="J12" s="500">
        <v>115</v>
      </c>
      <c r="K12" s="378"/>
      <c r="L12" s="378">
        <v>7</v>
      </c>
      <c r="M12" s="378">
        <v>7</v>
      </c>
      <c r="N12" s="500">
        <v>5</v>
      </c>
      <c r="O12" s="378"/>
      <c r="P12" s="378">
        <v>60</v>
      </c>
      <c r="Q12" s="378">
        <v>31</v>
      </c>
      <c r="R12" s="500">
        <v>60</v>
      </c>
      <c r="S12" s="378"/>
      <c r="T12" s="378">
        <v>0</v>
      </c>
      <c r="U12" s="378">
        <v>1</v>
      </c>
      <c r="V12" s="500">
        <v>3</v>
      </c>
      <c r="W12" s="378"/>
      <c r="X12" s="378">
        <v>64</v>
      </c>
      <c r="Y12" s="378">
        <v>36</v>
      </c>
      <c r="Z12" s="378">
        <v>4</v>
      </c>
      <c r="AA12" s="377"/>
      <c r="AB12" s="378">
        <f t="shared" si="1"/>
        <v>439</v>
      </c>
      <c r="AC12" s="378">
        <f t="shared" si="1"/>
        <v>268</v>
      </c>
      <c r="AD12" s="500">
        <f>+Z12+V12+R12+N12+J12+F12</f>
        <v>360</v>
      </c>
    </row>
    <row r="13" spans="1:30" s="6" customFormat="1" ht="22.5" customHeight="1">
      <c r="A13" s="499"/>
      <c r="B13" s="499" t="s">
        <v>690</v>
      </c>
      <c r="C13" s="377">
        <v>10705</v>
      </c>
      <c r="D13" s="378">
        <v>11598</v>
      </c>
      <c r="E13" s="378">
        <v>8556</v>
      </c>
      <c r="F13" s="500">
        <f>SUM(F9:F12)</f>
        <v>8737</v>
      </c>
      <c r="G13" s="378">
        <v>3158</v>
      </c>
      <c r="H13" s="378">
        <v>4719</v>
      </c>
      <c r="I13" s="378">
        <v>4807</v>
      </c>
      <c r="J13" s="500">
        <f>SUM(J9:J12)</f>
        <v>5854</v>
      </c>
      <c r="K13" s="378">
        <v>466</v>
      </c>
      <c r="L13" s="378">
        <v>544</v>
      </c>
      <c r="M13" s="378">
        <v>536</v>
      </c>
      <c r="N13" s="500">
        <f>SUM(N9:N12)</f>
        <v>636</v>
      </c>
      <c r="O13" s="378">
        <v>4624</v>
      </c>
      <c r="P13" s="378">
        <v>4067</v>
      </c>
      <c r="Q13" s="378">
        <v>3289</v>
      </c>
      <c r="R13" s="500">
        <f>SUM(R9:R12)</f>
        <v>3385</v>
      </c>
      <c r="S13" s="378">
        <v>156</v>
      </c>
      <c r="T13" s="378">
        <v>141</v>
      </c>
      <c r="U13" s="378">
        <v>115</v>
      </c>
      <c r="V13" s="500">
        <f>SUM(V9:V12)</f>
        <v>208</v>
      </c>
      <c r="W13" s="378">
        <v>2784</v>
      </c>
      <c r="X13" s="378">
        <v>2760</v>
      </c>
      <c r="Y13" s="378">
        <v>2642</v>
      </c>
      <c r="Z13" s="500">
        <f>SUM(Z9:Z12)</f>
        <v>170</v>
      </c>
      <c r="AA13" s="377">
        <f>SUM(AA9:AA11)</f>
        <v>21893</v>
      </c>
      <c r="AB13" s="378">
        <f>SUM(AB9:AB12)</f>
        <v>23829</v>
      </c>
      <c r="AC13" s="378">
        <f>SUM(AC9:AC12)</f>
        <v>19945</v>
      </c>
      <c r="AD13" s="500">
        <f>SUM(AD9:AD12)</f>
        <v>18990</v>
      </c>
    </row>
    <row r="14" spans="1:30" s="6" customFormat="1" ht="22.5" customHeight="1">
      <c r="A14" s="499" t="s">
        <v>576</v>
      </c>
      <c r="B14" s="254" t="s">
        <v>890</v>
      </c>
      <c r="C14" s="377">
        <v>6869</v>
      </c>
      <c r="D14" s="378">
        <v>3193</v>
      </c>
      <c r="E14" s="378">
        <v>2948</v>
      </c>
      <c r="F14" s="500">
        <v>3213</v>
      </c>
      <c r="G14" s="378">
        <v>962</v>
      </c>
      <c r="H14" s="378">
        <v>1844</v>
      </c>
      <c r="I14" s="378">
        <v>1977</v>
      </c>
      <c r="J14" s="500">
        <v>1728</v>
      </c>
      <c r="K14" s="378">
        <v>205</v>
      </c>
      <c r="L14" s="378">
        <v>111</v>
      </c>
      <c r="M14" s="378">
        <v>106</v>
      </c>
      <c r="N14" s="500">
        <v>193</v>
      </c>
      <c r="O14" s="378">
        <v>1268</v>
      </c>
      <c r="P14" s="378">
        <v>1023</v>
      </c>
      <c r="Q14" s="378">
        <v>967</v>
      </c>
      <c r="R14" s="500">
        <v>1157</v>
      </c>
      <c r="S14" s="378">
        <v>11</v>
      </c>
      <c r="T14" s="378">
        <v>33</v>
      </c>
      <c r="U14" s="378">
        <v>114</v>
      </c>
      <c r="V14" s="500">
        <v>175</v>
      </c>
      <c r="W14" s="378">
        <v>326</v>
      </c>
      <c r="X14" s="378">
        <v>454</v>
      </c>
      <c r="Y14" s="378">
        <v>380</v>
      </c>
      <c r="Z14" s="500">
        <v>0</v>
      </c>
      <c r="AA14" s="377">
        <f>+W14+S14+O14+K14+G14+C14</f>
        <v>9641</v>
      </c>
      <c r="AB14" s="378">
        <f>+X14+T14+P14+L14+H14+D14</f>
        <v>6658</v>
      </c>
      <c r="AC14" s="378">
        <f>+Y14+U14+Q14+M14+I14+E14</f>
        <v>6492</v>
      </c>
      <c r="AD14" s="500">
        <f>+Z14+V14+R14+N14+J14+F14</f>
        <v>6466</v>
      </c>
    </row>
    <row r="15" spans="1:30" s="6" customFormat="1" ht="22.5" customHeight="1">
      <c r="A15" s="499"/>
      <c r="B15" s="254" t="s">
        <v>1362</v>
      </c>
      <c r="C15" s="377"/>
      <c r="D15" s="378">
        <v>1184</v>
      </c>
      <c r="E15" s="378">
        <v>368</v>
      </c>
      <c r="F15" s="500">
        <v>346</v>
      </c>
      <c r="G15" s="378"/>
      <c r="H15" s="378">
        <v>413</v>
      </c>
      <c r="I15" s="378">
        <v>377</v>
      </c>
      <c r="J15" s="500">
        <v>338</v>
      </c>
      <c r="K15" s="378"/>
      <c r="L15" s="378">
        <v>21</v>
      </c>
      <c r="M15" s="378">
        <v>11</v>
      </c>
      <c r="N15" s="500">
        <v>20</v>
      </c>
      <c r="O15" s="378"/>
      <c r="P15" s="378">
        <v>322</v>
      </c>
      <c r="Q15" s="378">
        <v>258</v>
      </c>
      <c r="R15" s="500">
        <v>290</v>
      </c>
      <c r="S15" s="378"/>
      <c r="T15" s="378">
        <v>3</v>
      </c>
      <c r="U15" s="378"/>
      <c r="V15" s="500"/>
      <c r="W15" s="378"/>
      <c r="X15" s="378">
        <v>211</v>
      </c>
      <c r="Y15" s="378">
        <v>100</v>
      </c>
      <c r="Z15" s="500"/>
      <c r="AA15" s="377"/>
      <c r="AB15" s="378">
        <f t="shared" ref="AB15:AD16" si="2">+X15+T15+P15+L15+H15+D15</f>
        <v>2154</v>
      </c>
      <c r="AC15" s="378">
        <f t="shared" si="2"/>
        <v>1114</v>
      </c>
      <c r="AD15" s="500">
        <f t="shared" si="2"/>
        <v>994</v>
      </c>
    </row>
    <row r="16" spans="1:30" s="6" customFormat="1" ht="22.5" customHeight="1">
      <c r="A16" s="499"/>
      <c r="B16" s="303" t="s">
        <v>1359</v>
      </c>
      <c r="C16" s="377"/>
      <c r="D16" s="378">
        <v>345</v>
      </c>
      <c r="E16" s="378">
        <v>172</v>
      </c>
      <c r="F16" s="500">
        <v>221</v>
      </c>
      <c r="G16" s="378"/>
      <c r="H16" s="378">
        <v>219</v>
      </c>
      <c r="I16" s="378">
        <v>219</v>
      </c>
      <c r="J16" s="500">
        <v>162</v>
      </c>
      <c r="K16" s="378"/>
      <c r="L16" s="378">
        <v>3</v>
      </c>
      <c r="M16" s="378">
        <v>5</v>
      </c>
      <c r="N16" s="500">
        <v>8</v>
      </c>
      <c r="O16" s="378"/>
      <c r="P16" s="378">
        <v>73</v>
      </c>
      <c r="Q16" s="378">
        <v>67</v>
      </c>
      <c r="R16" s="500">
        <v>73</v>
      </c>
      <c r="S16" s="378"/>
      <c r="T16" s="378"/>
      <c r="U16" s="378"/>
      <c r="V16" s="500"/>
      <c r="W16" s="378"/>
      <c r="X16" s="378">
        <v>27</v>
      </c>
      <c r="Y16" s="378">
        <v>42</v>
      </c>
      <c r="Z16" s="500"/>
      <c r="AA16" s="377"/>
      <c r="AB16" s="378">
        <f t="shared" si="2"/>
        <v>667</v>
      </c>
      <c r="AC16" s="378">
        <f t="shared" si="2"/>
        <v>505</v>
      </c>
      <c r="AD16" s="500">
        <f t="shared" si="2"/>
        <v>464</v>
      </c>
    </row>
    <row r="17" spans="1:30" s="6" customFormat="1" ht="22.5" customHeight="1">
      <c r="A17" s="499"/>
      <c r="B17" s="350" t="s">
        <v>690</v>
      </c>
      <c r="C17" s="377"/>
      <c r="D17" s="378">
        <v>4722</v>
      </c>
      <c r="E17" s="378">
        <v>3488</v>
      </c>
      <c r="F17" s="500">
        <f>SUM(F14:F16)</f>
        <v>3780</v>
      </c>
      <c r="G17" s="378"/>
      <c r="H17" s="378">
        <v>2476</v>
      </c>
      <c r="I17" s="378">
        <v>2573</v>
      </c>
      <c r="J17" s="500">
        <f>SUM(J14:J16)</f>
        <v>2228</v>
      </c>
      <c r="K17" s="378"/>
      <c r="L17" s="378">
        <v>135</v>
      </c>
      <c r="M17" s="378">
        <v>122</v>
      </c>
      <c r="N17" s="500">
        <f>SUM(N14:N16)</f>
        <v>221</v>
      </c>
      <c r="O17" s="378"/>
      <c r="P17" s="378">
        <v>1418</v>
      </c>
      <c r="Q17" s="378">
        <v>1292</v>
      </c>
      <c r="R17" s="500">
        <f>SUM(R14:R16)</f>
        <v>1520</v>
      </c>
      <c r="S17" s="378"/>
      <c r="T17" s="378">
        <v>36</v>
      </c>
      <c r="U17" s="378">
        <v>114</v>
      </c>
      <c r="V17" s="500">
        <f>SUM(V14:V16)</f>
        <v>175</v>
      </c>
      <c r="W17" s="378"/>
      <c r="X17" s="378">
        <f>SUM(X14:X16)</f>
        <v>692</v>
      </c>
      <c r="Y17" s="378">
        <f>SUM(Y14:Y16)</f>
        <v>522</v>
      </c>
      <c r="Z17" s="500">
        <f>SUM(Z14:Z16)</f>
        <v>0</v>
      </c>
      <c r="AA17" s="377"/>
      <c r="AB17" s="378">
        <f>SUM(AB14:AB16)</f>
        <v>9479</v>
      </c>
      <c r="AC17" s="378">
        <f>SUM(AC14:AC16)</f>
        <v>8111</v>
      </c>
      <c r="AD17" s="500">
        <f>SUM(AD14:AD16)</f>
        <v>7924</v>
      </c>
    </row>
    <row r="18" spans="1:30" s="6" customFormat="1" ht="22.5" customHeight="1">
      <c r="A18" s="499" t="s">
        <v>1023</v>
      </c>
      <c r="B18" s="499" t="s">
        <v>892</v>
      </c>
      <c r="C18" s="377">
        <v>3723</v>
      </c>
      <c r="D18" s="378">
        <v>3291</v>
      </c>
      <c r="E18" s="378">
        <v>2320</v>
      </c>
      <c r="F18" s="500">
        <v>3009</v>
      </c>
      <c r="G18" s="378">
        <v>1430</v>
      </c>
      <c r="H18" s="378">
        <v>1382</v>
      </c>
      <c r="I18" s="378">
        <v>1394</v>
      </c>
      <c r="J18" s="500">
        <v>1502</v>
      </c>
      <c r="K18" s="378">
        <v>155</v>
      </c>
      <c r="L18" s="378">
        <v>141</v>
      </c>
      <c r="M18" s="378">
        <v>92</v>
      </c>
      <c r="N18" s="500">
        <v>100</v>
      </c>
      <c r="O18" s="378">
        <v>924</v>
      </c>
      <c r="P18" s="378">
        <v>1192</v>
      </c>
      <c r="Q18" s="378">
        <v>480</v>
      </c>
      <c r="R18" s="500">
        <v>644</v>
      </c>
      <c r="S18" s="378">
        <v>43</v>
      </c>
      <c r="T18" s="378">
        <v>19</v>
      </c>
      <c r="U18" s="378"/>
      <c r="V18" s="500">
        <v>71</v>
      </c>
      <c r="W18" s="378">
        <v>925</v>
      </c>
      <c r="X18" s="378">
        <v>780</v>
      </c>
      <c r="Y18" s="378">
        <v>829</v>
      </c>
      <c r="Z18" s="500">
        <v>592</v>
      </c>
      <c r="AA18" s="377">
        <f>+W18+S18+O18+K18+G18+C18</f>
        <v>7200</v>
      </c>
      <c r="AB18" s="378">
        <f>+X18+T18+P18+L18+H18+D18</f>
        <v>6805</v>
      </c>
      <c r="AC18" s="378">
        <f>+Y18+U18+Q18+M18+I18+E18</f>
        <v>5115</v>
      </c>
      <c r="AD18" s="500">
        <f>+Z18+V18+R18+N18+J18+F18</f>
        <v>5918</v>
      </c>
    </row>
    <row r="19" spans="1:30" s="6" customFormat="1" ht="22.5" customHeight="1">
      <c r="A19" s="499"/>
      <c r="B19" s="303" t="s">
        <v>1361</v>
      </c>
      <c r="C19" s="377"/>
      <c r="D19" s="378">
        <v>257</v>
      </c>
      <c r="E19" s="378">
        <v>240</v>
      </c>
      <c r="F19" s="500">
        <v>202</v>
      </c>
      <c r="G19" s="378"/>
      <c r="H19" s="378">
        <v>121</v>
      </c>
      <c r="I19" s="378">
        <v>118</v>
      </c>
      <c r="J19" s="500">
        <v>107</v>
      </c>
      <c r="K19" s="378"/>
      <c r="L19" s="378">
        <v>7</v>
      </c>
      <c r="M19" s="378">
        <v>12</v>
      </c>
      <c r="N19" s="500">
        <v>5</v>
      </c>
      <c r="O19" s="378"/>
      <c r="P19" s="378">
        <v>93</v>
      </c>
      <c r="Q19" s="378">
        <v>63</v>
      </c>
      <c r="R19" s="500">
        <v>85</v>
      </c>
      <c r="S19" s="378"/>
      <c r="T19" s="378">
        <v>2</v>
      </c>
      <c r="U19" s="378"/>
      <c r="V19" s="500"/>
      <c r="W19" s="378"/>
      <c r="X19" s="378">
        <v>50</v>
      </c>
      <c r="Y19" s="378">
        <v>54</v>
      </c>
      <c r="Z19" s="500">
        <v>41</v>
      </c>
      <c r="AA19" s="377"/>
      <c r="AB19" s="378">
        <f>+X19+T19+P19+L19+H19+D19</f>
        <v>530</v>
      </c>
      <c r="AC19" s="378">
        <f>+Y19+U19+Q19+M19+I19+E19</f>
        <v>487</v>
      </c>
      <c r="AD19" s="500">
        <f>+Z19+V19+R19+N19+J19+F19</f>
        <v>440</v>
      </c>
    </row>
    <row r="20" spans="1:30" s="6" customFormat="1" ht="22.5" customHeight="1">
      <c r="A20" s="499"/>
      <c r="B20" s="350" t="s">
        <v>690</v>
      </c>
      <c r="C20" s="377"/>
      <c r="D20" s="378">
        <v>3548</v>
      </c>
      <c r="E20" s="378">
        <v>2560</v>
      </c>
      <c r="F20" s="500">
        <f>SUM(F18:F19)</f>
        <v>3211</v>
      </c>
      <c r="G20" s="378"/>
      <c r="H20" s="378">
        <v>1503</v>
      </c>
      <c r="I20" s="378">
        <v>1512</v>
      </c>
      <c r="J20" s="500">
        <f>SUM(J18:J19)</f>
        <v>1609</v>
      </c>
      <c r="K20" s="378"/>
      <c r="L20" s="378">
        <v>148</v>
      </c>
      <c r="M20" s="378">
        <v>104</v>
      </c>
      <c r="N20" s="500">
        <f>SUM(N18:N19)</f>
        <v>105</v>
      </c>
      <c r="O20" s="378"/>
      <c r="P20" s="378">
        <v>1285</v>
      </c>
      <c r="Q20" s="378">
        <v>543</v>
      </c>
      <c r="R20" s="500">
        <f>SUM(R18:R19)</f>
        <v>729</v>
      </c>
      <c r="S20" s="378"/>
      <c r="T20" s="378">
        <v>21</v>
      </c>
      <c r="U20" s="378">
        <v>0</v>
      </c>
      <c r="V20" s="500">
        <f>SUM(V18:V19)</f>
        <v>71</v>
      </c>
      <c r="W20" s="378"/>
      <c r="X20" s="378">
        <v>830</v>
      </c>
      <c r="Y20" s="378">
        <v>883</v>
      </c>
      <c r="Z20" s="500">
        <f>SUM(Z18:Z19)</f>
        <v>633</v>
      </c>
      <c r="AA20" s="377"/>
      <c r="AB20" s="378">
        <f>+X20+T20+P20+L20+H20+D20</f>
        <v>7335</v>
      </c>
      <c r="AC20" s="378">
        <f>+Y20+U20+Q20+M20+I20+E20</f>
        <v>5602</v>
      </c>
      <c r="AD20" s="500">
        <f>SUM(AD18:AD19)</f>
        <v>6358</v>
      </c>
    </row>
    <row r="21" spans="1:30" s="6" customFormat="1" ht="22.5" customHeight="1">
      <c r="A21" s="499" t="s">
        <v>578</v>
      </c>
      <c r="B21" s="499" t="s">
        <v>893</v>
      </c>
      <c r="C21" s="377">
        <v>3598</v>
      </c>
      <c r="D21" s="378">
        <v>3957</v>
      </c>
      <c r="E21" s="378">
        <v>4437</v>
      </c>
      <c r="F21" s="500">
        <v>3546</v>
      </c>
      <c r="G21" s="378">
        <v>1420</v>
      </c>
      <c r="H21" s="378">
        <v>1658</v>
      </c>
      <c r="I21" s="378">
        <v>1389</v>
      </c>
      <c r="J21" s="500">
        <v>1424</v>
      </c>
      <c r="K21" s="378">
        <v>45</v>
      </c>
      <c r="L21" s="378">
        <v>106</v>
      </c>
      <c r="M21" s="378">
        <v>76</v>
      </c>
      <c r="N21" s="500">
        <v>69</v>
      </c>
      <c r="O21" s="378">
        <v>394</v>
      </c>
      <c r="P21" s="378">
        <v>475</v>
      </c>
      <c r="Q21" s="378">
        <v>353</v>
      </c>
      <c r="R21" s="500">
        <v>393</v>
      </c>
      <c r="S21" s="378">
        <v>24</v>
      </c>
      <c r="T21" s="378">
        <v>18</v>
      </c>
      <c r="U21" s="378">
        <v>12</v>
      </c>
      <c r="V21" s="500">
        <v>405</v>
      </c>
      <c r="W21" s="378">
        <v>471</v>
      </c>
      <c r="X21" s="378">
        <v>390</v>
      </c>
      <c r="Y21" s="378">
        <v>810</v>
      </c>
      <c r="Z21" s="500"/>
      <c r="AA21" s="377">
        <f>+W21+S21+O21+K21+G21+C21</f>
        <v>5952</v>
      </c>
      <c r="AB21" s="378">
        <f>+X21+T21+P21+L21+H21+D21</f>
        <v>6604</v>
      </c>
      <c r="AC21" s="378">
        <f>+Y21+U21+Q21+M21+I21+E21</f>
        <v>7077</v>
      </c>
      <c r="AD21" s="500">
        <f>+Z21+V21+R21+N21+J21+F21</f>
        <v>5837</v>
      </c>
    </row>
    <row r="22" spans="1:30" s="6" customFormat="1" ht="22.5" customHeight="1">
      <c r="A22" s="504" t="s">
        <v>1024</v>
      </c>
      <c r="B22" s="505"/>
      <c r="C22" s="506">
        <v>24895</v>
      </c>
      <c r="D22" s="507">
        <v>23825</v>
      </c>
      <c r="E22" s="507">
        <v>19041</v>
      </c>
      <c r="F22" s="508">
        <f>+F13+F17+F20+F21</f>
        <v>19274</v>
      </c>
      <c r="G22" s="507">
        <v>6970</v>
      </c>
      <c r="H22" s="507">
        <v>10356</v>
      </c>
      <c r="I22" s="507">
        <v>10281</v>
      </c>
      <c r="J22" s="508">
        <f>+J13+J17+J20+J21</f>
        <v>11115</v>
      </c>
      <c r="K22" s="507">
        <v>871</v>
      </c>
      <c r="L22" s="507">
        <v>933</v>
      </c>
      <c r="M22" s="507">
        <v>838</v>
      </c>
      <c r="N22" s="508">
        <f>+N13+N17+N20+N21</f>
        <v>1031</v>
      </c>
      <c r="O22" s="507">
        <v>7210</v>
      </c>
      <c r="P22" s="507">
        <v>7245</v>
      </c>
      <c r="Q22" s="507">
        <v>5477</v>
      </c>
      <c r="R22" s="508">
        <f>+R13+R17+R20+R21</f>
        <v>6027</v>
      </c>
      <c r="S22" s="507">
        <v>234</v>
      </c>
      <c r="T22" s="507">
        <v>216</v>
      </c>
      <c r="U22" s="507">
        <v>241</v>
      </c>
      <c r="V22" s="508">
        <f>+V13+V17+V20+V21</f>
        <v>859</v>
      </c>
      <c r="W22" s="507">
        <v>4506</v>
      </c>
      <c r="X22" s="507">
        <v>4672</v>
      </c>
      <c r="Y22" s="507">
        <f>+Y13+Y17+Y20+Y21</f>
        <v>4857</v>
      </c>
      <c r="Z22" s="508">
        <f>+Z13+Z17+Z20+Z21</f>
        <v>803</v>
      </c>
      <c r="AA22" s="506">
        <f>SUM(AA13:AA21)</f>
        <v>44686</v>
      </c>
      <c r="AB22" s="507">
        <f>+AB13+AB17+AB20+AB21</f>
        <v>47247</v>
      </c>
      <c r="AC22" s="507">
        <f>+AC13+AC17+AC20+AC21</f>
        <v>40735</v>
      </c>
      <c r="AD22" s="508">
        <f>+AD13+AD17+AD20+AD21</f>
        <v>39109</v>
      </c>
    </row>
    <row r="23" spans="1:30" s="6" customFormat="1" ht="22.5" customHeight="1">
      <c r="A23" s="499" t="s">
        <v>1025</v>
      </c>
      <c r="B23" s="499" t="s">
        <v>895</v>
      </c>
      <c r="C23" s="377">
        <v>6334</v>
      </c>
      <c r="D23" s="378">
        <v>6099</v>
      </c>
      <c r="E23" s="378">
        <v>5867</v>
      </c>
      <c r="F23" s="500">
        <v>5749</v>
      </c>
      <c r="G23" s="378">
        <v>2666</v>
      </c>
      <c r="H23" s="378">
        <v>3441</v>
      </c>
      <c r="I23" s="378">
        <v>3241</v>
      </c>
      <c r="J23" s="500">
        <v>3241</v>
      </c>
      <c r="K23" s="378">
        <v>360</v>
      </c>
      <c r="L23" s="378">
        <v>381</v>
      </c>
      <c r="M23" s="378">
        <v>94</v>
      </c>
      <c r="N23" s="500">
        <v>66</v>
      </c>
      <c r="O23" s="378">
        <v>1902</v>
      </c>
      <c r="P23" s="378">
        <v>1849</v>
      </c>
      <c r="Q23" s="378">
        <v>1555</v>
      </c>
      <c r="R23" s="500">
        <v>1432</v>
      </c>
      <c r="S23" s="378">
        <v>45</v>
      </c>
      <c r="T23" s="378">
        <v>88</v>
      </c>
      <c r="U23" s="378">
        <v>36</v>
      </c>
      <c r="V23" s="500">
        <v>49</v>
      </c>
      <c r="W23" s="378">
        <v>1937</v>
      </c>
      <c r="X23" s="378">
        <v>1725</v>
      </c>
      <c r="Y23" s="378">
        <v>1847</v>
      </c>
      <c r="Z23" s="500">
        <v>0</v>
      </c>
      <c r="AA23" s="377">
        <f t="shared" ref="AA23:AD26" si="3">+W23+S23+O23+K23+G23+C23</f>
        <v>13244</v>
      </c>
      <c r="AB23" s="378">
        <f t="shared" si="3"/>
        <v>13583</v>
      </c>
      <c r="AC23" s="378">
        <f t="shared" si="3"/>
        <v>12640</v>
      </c>
      <c r="AD23" s="500">
        <f t="shared" si="3"/>
        <v>10537</v>
      </c>
    </row>
    <row r="24" spans="1:30" s="6" customFormat="1" ht="22.5" customHeight="1">
      <c r="A24" s="499"/>
      <c r="B24" s="499" t="s">
        <v>896</v>
      </c>
      <c r="C24" s="377">
        <v>9133</v>
      </c>
      <c r="D24" s="378">
        <v>9857</v>
      </c>
      <c r="E24" s="378">
        <v>9292</v>
      </c>
      <c r="F24" s="500">
        <v>9034</v>
      </c>
      <c r="G24" s="378">
        <v>3485</v>
      </c>
      <c r="H24" s="378">
        <v>3921</v>
      </c>
      <c r="I24" s="378">
        <v>3354</v>
      </c>
      <c r="J24" s="500">
        <v>4008</v>
      </c>
      <c r="K24" s="378">
        <v>468</v>
      </c>
      <c r="L24" s="378">
        <v>510</v>
      </c>
      <c r="M24" s="378">
        <v>439</v>
      </c>
      <c r="N24" s="500">
        <v>486</v>
      </c>
      <c r="O24" s="378">
        <v>3550</v>
      </c>
      <c r="P24" s="378">
        <v>3077</v>
      </c>
      <c r="Q24" s="378">
        <v>3480</v>
      </c>
      <c r="R24" s="500">
        <v>3762</v>
      </c>
      <c r="S24" s="378">
        <v>127</v>
      </c>
      <c r="T24" s="378">
        <v>170</v>
      </c>
      <c r="U24" s="378">
        <v>207</v>
      </c>
      <c r="V24" s="500">
        <v>265</v>
      </c>
      <c r="W24" s="378">
        <v>2086</v>
      </c>
      <c r="X24" s="378">
        <v>1672</v>
      </c>
      <c r="Y24" s="378">
        <v>1834</v>
      </c>
      <c r="Z24" s="500">
        <v>2</v>
      </c>
      <c r="AA24" s="377">
        <f t="shared" si="3"/>
        <v>18849</v>
      </c>
      <c r="AB24" s="378">
        <f t="shared" si="3"/>
        <v>19207</v>
      </c>
      <c r="AC24" s="378">
        <f t="shared" si="3"/>
        <v>18606</v>
      </c>
      <c r="AD24" s="500">
        <f t="shared" si="3"/>
        <v>17557</v>
      </c>
    </row>
    <row r="25" spans="1:30" s="6" customFormat="1" ht="22.5" customHeight="1">
      <c r="A25" s="499"/>
      <c r="B25" s="499" t="s">
        <v>586</v>
      </c>
      <c r="C25" s="377">
        <v>674</v>
      </c>
      <c r="D25" s="378">
        <v>719</v>
      </c>
      <c r="E25" s="378">
        <v>805</v>
      </c>
      <c r="F25" s="500">
        <v>917</v>
      </c>
      <c r="G25" s="378">
        <v>309</v>
      </c>
      <c r="H25" s="378">
        <v>401</v>
      </c>
      <c r="I25" s="378">
        <v>347</v>
      </c>
      <c r="J25" s="500">
        <v>451</v>
      </c>
      <c r="K25" s="378">
        <v>13</v>
      </c>
      <c r="L25" s="378">
        <v>33</v>
      </c>
      <c r="M25" s="378">
        <v>34</v>
      </c>
      <c r="N25" s="500">
        <v>40</v>
      </c>
      <c r="O25" s="378"/>
      <c r="P25" s="378">
        <v>283</v>
      </c>
      <c r="Q25" s="378">
        <v>307</v>
      </c>
      <c r="R25" s="500">
        <v>456</v>
      </c>
      <c r="S25" s="378"/>
      <c r="T25" s="378">
        <v>16</v>
      </c>
      <c r="U25" s="378">
        <v>10</v>
      </c>
      <c r="V25" s="500"/>
      <c r="W25" s="378"/>
      <c r="X25" s="378">
        <v>87</v>
      </c>
      <c r="Y25" s="378">
        <v>99</v>
      </c>
      <c r="Z25" s="500"/>
      <c r="AA25" s="377">
        <f t="shared" si="3"/>
        <v>996</v>
      </c>
      <c r="AB25" s="378">
        <f t="shared" si="3"/>
        <v>1539</v>
      </c>
      <c r="AC25" s="378">
        <f t="shared" si="3"/>
        <v>1602</v>
      </c>
      <c r="AD25" s="500">
        <f t="shared" si="3"/>
        <v>1864</v>
      </c>
    </row>
    <row r="26" spans="1:30" s="6" customFormat="1" ht="22.5" customHeight="1">
      <c r="A26" s="499"/>
      <c r="B26" s="499" t="s">
        <v>897</v>
      </c>
      <c r="C26" s="377">
        <v>1675</v>
      </c>
      <c r="D26" s="378">
        <v>1422</v>
      </c>
      <c r="E26" s="378">
        <v>1348</v>
      </c>
      <c r="F26" s="500">
        <v>1636</v>
      </c>
      <c r="G26" s="378">
        <v>489</v>
      </c>
      <c r="H26" s="378">
        <v>583</v>
      </c>
      <c r="I26" s="378">
        <v>750</v>
      </c>
      <c r="J26" s="500">
        <v>692</v>
      </c>
      <c r="K26" s="378">
        <v>27</v>
      </c>
      <c r="L26" s="378">
        <v>37</v>
      </c>
      <c r="M26" s="378">
        <v>45</v>
      </c>
      <c r="N26" s="500">
        <v>69</v>
      </c>
      <c r="O26" s="378">
        <v>296</v>
      </c>
      <c r="P26" s="378">
        <v>288</v>
      </c>
      <c r="Q26" s="378">
        <v>333</v>
      </c>
      <c r="R26" s="500">
        <v>579</v>
      </c>
      <c r="S26" s="378">
        <v>8</v>
      </c>
      <c r="T26" s="378">
        <v>22</v>
      </c>
      <c r="U26" s="378">
        <v>18</v>
      </c>
      <c r="V26" s="500">
        <v>54</v>
      </c>
      <c r="W26" s="378">
        <v>469</v>
      </c>
      <c r="X26" s="378">
        <v>220</v>
      </c>
      <c r="Y26" s="378">
        <v>172</v>
      </c>
      <c r="Z26" s="500"/>
      <c r="AA26" s="377">
        <f t="shared" si="3"/>
        <v>2964</v>
      </c>
      <c r="AB26" s="378">
        <f t="shared" si="3"/>
        <v>2572</v>
      </c>
      <c r="AC26" s="378">
        <f t="shared" si="3"/>
        <v>2666</v>
      </c>
      <c r="AD26" s="500">
        <f t="shared" si="3"/>
        <v>3030</v>
      </c>
    </row>
    <row r="27" spans="1:30" s="6" customFormat="1" ht="22.5" customHeight="1">
      <c r="A27" s="499"/>
      <c r="B27" s="499" t="s">
        <v>690</v>
      </c>
      <c r="C27" s="377">
        <v>17816</v>
      </c>
      <c r="D27" s="378">
        <v>18097</v>
      </c>
      <c r="E27" s="378">
        <v>17312</v>
      </c>
      <c r="F27" s="500">
        <f>SUM(F23:F26)</f>
        <v>17336</v>
      </c>
      <c r="G27" s="378">
        <v>6949</v>
      </c>
      <c r="H27" s="378">
        <v>8346</v>
      </c>
      <c r="I27" s="378">
        <v>7692</v>
      </c>
      <c r="J27" s="500">
        <f>SUM(J23:J26)</f>
        <v>8392</v>
      </c>
      <c r="K27" s="378">
        <v>868</v>
      </c>
      <c r="L27" s="378">
        <v>961</v>
      </c>
      <c r="M27" s="378">
        <v>612</v>
      </c>
      <c r="N27" s="500">
        <f>SUM(N23:N26)</f>
        <v>661</v>
      </c>
      <c r="O27" s="378">
        <v>5748</v>
      </c>
      <c r="P27" s="378">
        <v>5497</v>
      </c>
      <c r="Q27" s="378">
        <v>5675</v>
      </c>
      <c r="R27" s="500">
        <f>SUM(R23:R26)</f>
        <v>6229</v>
      </c>
      <c r="S27" s="378">
        <v>180</v>
      </c>
      <c r="T27" s="378">
        <v>296</v>
      </c>
      <c r="U27" s="378">
        <v>271</v>
      </c>
      <c r="V27" s="500">
        <f>SUM(V23:V26)</f>
        <v>368</v>
      </c>
      <c r="W27" s="378">
        <v>4492</v>
      </c>
      <c r="X27" s="378">
        <v>3704</v>
      </c>
      <c r="Y27" s="378">
        <v>3952</v>
      </c>
      <c r="Z27" s="500">
        <f>SUM(Z23:Z26)</f>
        <v>2</v>
      </c>
      <c r="AA27" s="377">
        <f>SUM(AA23:AA26)</f>
        <v>36053</v>
      </c>
      <c r="AB27" s="378">
        <f>SUM(AB23:AB26)</f>
        <v>36901</v>
      </c>
      <c r="AC27" s="378">
        <f>SUM(AC23:AC26)</f>
        <v>35514</v>
      </c>
      <c r="AD27" s="500">
        <f>SUM(AD23:AD26)</f>
        <v>32988</v>
      </c>
    </row>
    <row r="28" spans="1:30" s="6" customFormat="1" ht="22.5" customHeight="1">
      <c r="A28" s="499" t="s">
        <v>581</v>
      </c>
      <c r="B28" s="499" t="s">
        <v>898</v>
      </c>
      <c r="C28" s="377">
        <v>4532</v>
      </c>
      <c r="D28" s="378">
        <v>3770</v>
      </c>
      <c r="E28" s="378">
        <v>3241</v>
      </c>
      <c r="F28" s="500">
        <v>3180</v>
      </c>
      <c r="G28" s="378">
        <v>643</v>
      </c>
      <c r="H28" s="378">
        <v>524</v>
      </c>
      <c r="I28" s="378">
        <v>1352</v>
      </c>
      <c r="J28" s="500">
        <v>1635</v>
      </c>
      <c r="K28" s="378">
        <v>157</v>
      </c>
      <c r="L28" s="378">
        <v>170</v>
      </c>
      <c r="M28" s="378">
        <v>0</v>
      </c>
      <c r="N28" s="500">
        <v>63</v>
      </c>
      <c r="O28" s="378">
        <v>1109</v>
      </c>
      <c r="P28" s="378">
        <v>998</v>
      </c>
      <c r="Q28" s="378">
        <v>1069</v>
      </c>
      <c r="R28" s="500">
        <v>1085</v>
      </c>
      <c r="S28" s="378">
        <v>169</v>
      </c>
      <c r="T28" s="378">
        <v>146</v>
      </c>
      <c r="U28" s="378">
        <v>127</v>
      </c>
      <c r="V28" s="500">
        <v>121</v>
      </c>
      <c r="W28" s="378">
        <v>492</v>
      </c>
      <c r="X28" s="378">
        <v>385</v>
      </c>
      <c r="Y28" s="378">
        <v>678</v>
      </c>
      <c r="Z28" s="500">
        <v>5</v>
      </c>
      <c r="AA28" s="377">
        <f>+W28+S28+O28+K28+G28+C28</f>
        <v>7102</v>
      </c>
      <c r="AB28" s="378">
        <f>+X28+T28+P28+L28+H28+D28</f>
        <v>5993</v>
      </c>
      <c r="AC28" s="378">
        <f>+Y28+U28+Q28+M28+I28+E28</f>
        <v>6467</v>
      </c>
      <c r="AD28" s="500">
        <f>+Z28+V28+R28+N28+J28+F28</f>
        <v>6089</v>
      </c>
    </row>
    <row r="29" spans="1:30" s="6" customFormat="1" ht="22.5" customHeight="1">
      <c r="A29" s="499"/>
      <c r="B29" s="303" t="s">
        <v>1351</v>
      </c>
      <c r="C29" s="377"/>
      <c r="D29" s="378">
        <v>491</v>
      </c>
      <c r="E29" s="378">
        <v>210</v>
      </c>
      <c r="F29" s="500">
        <v>260</v>
      </c>
      <c r="G29" s="378"/>
      <c r="H29" s="378">
        <v>136</v>
      </c>
      <c r="I29" s="378">
        <v>133</v>
      </c>
      <c r="J29" s="500">
        <v>137</v>
      </c>
      <c r="K29" s="378"/>
      <c r="L29" s="378">
        <v>9</v>
      </c>
      <c r="M29" s="378"/>
      <c r="N29" s="500"/>
      <c r="O29" s="378"/>
      <c r="P29" s="378">
        <v>165</v>
      </c>
      <c r="Q29" s="378">
        <v>198</v>
      </c>
      <c r="R29" s="500">
        <v>183</v>
      </c>
      <c r="S29" s="378"/>
      <c r="T29" s="378"/>
      <c r="U29" s="378"/>
      <c r="V29" s="500"/>
      <c r="W29" s="378"/>
      <c r="X29" s="378">
        <v>115</v>
      </c>
      <c r="Y29" s="378">
        <v>113</v>
      </c>
      <c r="Z29" s="500">
        <v>12</v>
      </c>
      <c r="AA29" s="377"/>
      <c r="AB29" s="378">
        <f t="shared" ref="AB29:AD31" si="4">+X29+T29+P29+L29+H29+D29</f>
        <v>916</v>
      </c>
      <c r="AC29" s="378">
        <f t="shared" si="4"/>
        <v>654</v>
      </c>
      <c r="AD29" s="500">
        <f t="shared" si="4"/>
        <v>592</v>
      </c>
    </row>
    <row r="30" spans="1:30" s="6" customFormat="1" ht="22.5" customHeight="1">
      <c r="A30" s="499"/>
      <c r="B30" s="254" t="s">
        <v>1478</v>
      </c>
      <c r="C30" s="377"/>
      <c r="D30" s="378"/>
      <c r="E30" s="378"/>
      <c r="F30" s="500"/>
      <c r="G30" s="378"/>
      <c r="H30" s="378"/>
      <c r="I30" s="378"/>
      <c r="J30" s="500"/>
      <c r="K30" s="378"/>
      <c r="L30" s="378"/>
      <c r="M30" s="378"/>
      <c r="N30" s="500"/>
      <c r="O30" s="378"/>
      <c r="P30" s="378"/>
      <c r="Q30" s="378"/>
      <c r="R30" s="500"/>
      <c r="S30" s="378"/>
      <c r="T30" s="378"/>
      <c r="U30" s="378"/>
      <c r="V30" s="500">
        <v>14</v>
      </c>
      <c r="W30" s="378"/>
      <c r="X30" s="378"/>
      <c r="Y30" s="378"/>
      <c r="Z30" s="500"/>
      <c r="AA30" s="377"/>
      <c r="AB30" s="378"/>
      <c r="AC30" s="378">
        <f t="shared" si="4"/>
        <v>0</v>
      </c>
      <c r="AD30" s="500">
        <f t="shared" si="4"/>
        <v>14</v>
      </c>
    </row>
    <row r="31" spans="1:30" s="6" customFormat="1" ht="22.5" customHeight="1">
      <c r="A31" s="499"/>
      <c r="B31" s="499" t="s">
        <v>1026</v>
      </c>
      <c r="C31" s="377">
        <v>1</v>
      </c>
      <c r="D31" s="378"/>
      <c r="E31" s="378">
        <v>4</v>
      </c>
      <c r="F31" s="500">
        <v>2</v>
      </c>
      <c r="G31" s="378"/>
      <c r="H31" s="378"/>
      <c r="I31" s="378"/>
      <c r="J31" s="500"/>
      <c r="K31" s="378"/>
      <c r="L31" s="378"/>
      <c r="M31" s="378"/>
      <c r="N31" s="500"/>
      <c r="O31" s="378"/>
      <c r="P31" s="378"/>
      <c r="Q31" s="378"/>
      <c r="R31" s="500"/>
      <c r="S31" s="378"/>
      <c r="T31" s="378"/>
      <c r="U31" s="378"/>
      <c r="V31" s="500"/>
      <c r="W31" s="378"/>
      <c r="X31" s="378"/>
      <c r="Y31" s="378"/>
      <c r="Z31" s="500"/>
      <c r="AA31" s="377">
        <f>+W31+S31+O31+K31+G31+C31</f>
        <v>1</v>
      </c>
      <c r="AB31" s="378">
        <f t="shared" si="4"/>
        <v>0</v>
      </c>
      <c r="AC31" s="378">
        <f t="shared" si="4"/>
        <v>4</v>
      </c>
      <c r="AD31" s="500">
        <f t="shared" si="4"/>
        <v>2</v>
      </c>
    </row>
    <row r="32" spans="1:30" s="6" customFormat="1" ht="22.5" customHeight="1">
      <c r="A32" s="499"/>
      <c r="B32" s="499" t="s">
        <v>690</v>
      </c>
      <c r="C32" s="377">
        <v>4533</v>
      </c>
      <c r="D32" s="378">
        <v>4261</v>
      </c>
      <c r="E32" s="378">
        <v>3455</v>
      </c>
      <c r="F32" s="500">
        <f>SUM(F28:F31)</f>
        <v>3442</v>
      </c>
      <c r="G32" s="378">
        <v>643</v>
      </c>
      <c r="H32" s="378">
        <v>660</v>
      </c>
      <c r="I32" s="378">
        <v>1485</v>
      </c>
      <c r="J32" s="500">
        <f>SUM(J28:J31)</f>
        <v>1772</v>
      </c>
      <c r="K32" s="378">
        <v>157</v>
      </c>
      <c r="L32" s="378">
        <v>179</v>
      </c>
      <c r="M32" s="378">
        <v>0</v>
      </c>
      <c r="N32" s="500">
        <f>SUM(N28:N31)</f>
        <v>63</v>
      </c>
      <c r="O32" s="378">
        <v>1109</v>
      </c>
      <c r="P32" s="378">
        <v>1163</v>
      </c>
      <c r="Q32" s="378">
        <v>1267</v>
      </c>
      <c r="R32" s="500">
        <f>SUM(R28:R31)</f>
        <v>1268</v>
      </c>
      <c r="S32" s="378">
        <v>169</v>
      </c>
      <c r="T32" s="378">
        <v>146</v>
      </c>
      <c r="U32" s="378">
        <v>127</v>
      </c>
      <c r="V32" s="500">
        <f>SUM(V28:V31)</f>
        <v>135</v>
      </c>
      <c r="W32" s="378">
        <v>492</v>
      </c>
      <c r="X32" s="378">
        <v>500</v>
      </c>
      <c r="Y32" s="378">
        <v>791</v>
      </c>
      <c r="Z32" s="500">
        <f>SUM(Z28:Z31)</f>
        <v>17</v>
      </c>
      <c r="AA32" s="377">
        <f>SUM(AA28:AA31)</f>
        <v>7103</v>
      </c>
      <c r="AB32" s="378">
        <f>SUM(AB28:AB31)</f>
        <v>6909</v>
      </c>
      <c r="AC32" s="378">
        <f>SUM(AC28:AC31)</f>
        <v>7125</v>
      </c>
      <c r="AD32" s="500">
        <f>SUM(AD28:AD31)</f>
        <v>6697</v>
      </c>
    </row>
    <row r="33" spans="1:30" s="6" customFormat="1" ht="22.5" customHeight="1">
      <c r="A33" s="499" t="s">
        <v>582</v>
      </c>
      <c r="B33" s="254" t="s">
        <v>698</v>
      </c>
      <c r="C33" s="377">
        <v>3666</v>
      </c>
      <c r="D33" s="378">
        <v>3152</v>
      </c>
      <c r="E33" s="378">
        <v>2737</v>
      </c>
      <c r="F33" s="500">
        <v>3320</v>
      </c>
      <c r="G33" s="378">
        <v>1191</v>
      </c>
      <c r="H33" s="378">
        <v>1193</v>
      </c>
      <c r="I33" s="378">
        <v>1266</v>
      </c>
      <c r="J33" s="500">
        <v>1615</v>
      </c>
      <c r="K33" s="378">
        <v>221</v>
      </c>
      <c r="L33" s="378">
        <v>132</v>
      </c>
      <c r="M33" s="378">
        <v>155</v>
      </c>
      <c r="N33" s="500">
        <v>158</v>
      </c>
      <c r="O33" s="378">
        <v>1075</v>
      </c>
      <c r="P33" s="378">
        <v>1084</v>
      </c>
      <c r="Q33" s="378">
        <v>1077</v>
      </c>
      <c r="R33" s="500">
        <v>1163</v>
      </c>
      <c r="S33" s="378">
        <v>47</v>
      </c>
      <c r="T33" s="378">
        <v>30</v>
      </c>
      <c r="U33" s="378">
        <v>31</v>
      </c>
      <c r="V33" s="500">
        <v>15</v>
      </c>
      <c r="W33" s="378">
        <v>717</v>
      </c>
      <c r="X33" s="378">
        <v>829</v>
      </c>
      <c r="Y33" s="378">
        <v>963</v>
      </c>
      <c r="Z33" s="500"/>
      <c r="AA33" s="377">
        <f t="shared" ref="AA33:AC39" si="5">+W33+S33+O33+K33+G33+C33</f>
        <v>6917</v>
      </c>
      <c r="AB33" s="378">
        <f t="shared" si="5"/>
        <v>6420</v>
      </c>
      <c r="AC33" s="378">
        <f t="shared" si="5"/>
        <v>6229</v>
      </c>
      <c r="AD33" s="500">
        <f>+Z33+V33+R33+N33+J33+F33</f>
        <v>6271</v>
      </c>
    </row>
    <row r="34" spans="1:30" s="6" customFormat="1" ht="22.5" customHeight="1">
      <c r="A34" s="499"/>
      <c r="B34" s="499" t="s">
        <v>900</v>
      </c>
      <c r="C34" s="377">
        <v>495</v>
      </c>
      <c r="D34" s="378">
        <v>549</v>
      </c>
      <c r="E34" s="378">
        <v>494</v>
      </c>
      <c r="F34" s="500">
        <v>452</v>
      </c>
      <c r="G34" s="378">
        <v>186</v>
      </c>
      <c r="H34" s="378">
        <v>229</v>
      </c>
      <c r="I34" s="378">
        <v>161</v>
      </c>
      <c r="J34" s="500">
        <v>251</v>
      </c>
      <c r="K34" s="378">
        <v>32</v>
      </c>
      <c r="L34" s="378">
        <v>16</v>
      </c>
      <c r="M34" s="378">
        <v>21</v>
      </c>
      <c r="N34" s="500">
        <v>19</v>
      </c>
      <c r="O34" s="378">
        <v>135</v>
      </c>
      <c r="P34" s="378">
        <v>110</v>
      </c>
      <c r="Q34" s="378">
        <v>130</v>
      </c>
      <c r="R34" s="500">
        <v>195</v>
      </c>
      <c r="S34" s="378">
        <v>18</v>
      </c>
      <c r="T34" s="378">
        <v>8</v>
      </c>
      <c r="U34" s="378">
        <v>14</v>
      </c>
      <c r="V34" s="500">
        <v>15</v>
      </c>
      <c r="W34" s="378">
        <v>107</v>
      </c>
      <c r="X34" s="378">
        <v>113</v>
      </c>
      <c r="Y34" s="378">
        <v>124</v>
      </c>
      <c r="Z34" s="500"/>
      <c r="AA34" s="377">
        <f>+W34+S34+O34+K34+G34+C34</f>
        <v>973</v>
      </c>
      <c r="AB34" s="378">
        <f>+X34+T34+P34+L34+H34+D34</f>
        <v>1025</v>
      </c>
      <c r="AC34" s="378">
        <f>+Y34+U34+Q34+M34+I34+E34</f>
        <v>944</v>
      </c>
      <c r="AD34" s="500">
        <f>+Z34+V34+R34+N34+J34+F34</f>
        <v>932</v>
      </c>
    </row>
    <row r="35" spans="1:30" s="6" customFormat="1" ht="22.5" customHeight="1">
      <c r="A35" s="499"/>
      <c r="B35" s="303" t="s">
        <v>1352</v>
      </c>
      <c r="C35" s="377"/>
      <c r="D35" s="378">
        <v>152</v>
      </c>
      <c r="E35" s="378">
        <v>112</v>
      </c>
      <c r="F35" s="500">
        <v>76</v>
      </c>
      <c r="G35" s="378"/>
      <c r="H35" s="378">
        <v>168</v>
      </c>
      <c r="I35" s="378">
        <v>122</v>
      </c>
      <c r="J35" s="500">
        <v>156</v>
      </c>
      <c r="K35" s="378"/>
      <c r="L35" s="378">
        <v>18</v>
      </c>
      <c r="M35" s="378">
        <v>14</v>
      </c>
      <c r="N35" s="500">
        <v>12</v>
      </c>
      <c r="O35" s="378"/>
      <c r="P35" s="378">
        <v>122</v>
      </c>
      <c r="Q35" s="378">
        <v>87</v>
      </c>
      <c r="R35" s="500">
        <v>101</v>
      </c>
      <c r="S35" s="378"/>
      <c r="T35" s="378">
        <v>17</v>
      </c>
      <c r="U35" s="378">
        <v>1</v>
      </c>
      <c r="V35" s="500">
        <v>1</v>
      </c>
      <c r="W35" s="378"/>
      <c r="X35" s="378">
        <v>74</v>
      </c>
      <c r="Y35" s="378">
        <v>107</v>
      </c>
      <c r="Z35" s="500">
        <v>10</v>
      </c>
      <c r="AA35" s="377"/>
      <c r="AB35" s="378">
        <f>+X35+T35+P35+L35+H35+D35</f>
        <v>551</v>
      </c>
      <c r="AC35" s="378">
        <f>+Y35+U35+Q35+M35+I35+E35</f>
        <v>443</v>
      </c>
      <c r="AD35" s="500">
        <f>+Z35+V35+R35+N35+J35+F35</f>
        <v>356</v>
      </c>
    </row>
    <row r="36" spans="1:30" s="6" customFormat="1" ht="22.5" customHeight="1">
      <c r="A36" s="499"/>
      <c r="B36" s="499" t="s">
        <v>690</v>
      </c>
      <c r="C36" s="377">
        <f>SUM(C33:C35)</f>
        <v>4161</v>
      </c>
      <c r="D36" s="378">
        <f t="shared" ref="D36:AD36" si="6">SUM(D33:D35)</f>
        <v>3853</v>
      </c>
      <c r="E36" s="378">
        <f t="shared" si="6"/>
        <v>3343</v>
      </c>
      <c r="F36" s="378">
        <f t="shared" si="6"/>
        <v>3848</v>
      </c>
      <c r="G36" s="377">
        <f t="shared" si="6"/>
        <v>1377</v>
      </c>
      <c r="H36" s="378">
        <f t="shared" si="6"/>
        <v>1590</v>
      </c>
      <c r="I36" s="378">
        <f t="shared" si="6"/>
        <v>1549</v>
      </c>
      <c r="J36" s="378">
        <f t="shared" si="6"/>
        <v>2022</v>
      </c>
      <c r="K36" s="377">
        <f t="shared" si="6"/>
        <v>253</v>
      </c>
      <c r="L36" s="378">
        <f t="shared" si="6"/>
        <v>166</v>
      </c>
      <c r="M36" s="378">
        <f t="shared" si="6"/>
        <v>190</v>
      </c>
      <c r="N36" s="378">
        <f t="shared" si="6"/>
        <v>189</v>
      </c>
      <c r="O36" s="377">
        <f t="shared" si="6"/>
        <v>1210</v>
      </c>
      <c r="P36" s="378">
        <f t="shared" si="6"/>
        <v>1316</v>
      </c>
      <c r="Q36" s="378">
        <f t="shared" si="6"/>
        <v>1294</v>
      </c>
      <c r="R36" s="378">
        <f t="shared" si="6"/>
        <v>1459</v>
      </c>
      <c r="S36" s="377">
        <f t="shared" si="6"/>
        <v>65</v>
      </c>
      <c r="T36" s="378">
        <f t="shared" si="6"/>
        <v>55</v>
      </c>
      <c r="U36" s="378">
        <f t="shared" si="6"/>
        <v>46</v>
      </c>
      <c r="V36" s="378">
        <f t="shared" si="6"/>
        <v>31</v>
      </c>
      <c r="W36" s="377">
        <f t="shared" si="6"/>
        <v>824</v>
      </c>
      <c r="X36" s="378">
        <f t="shared" si="6"/>
        <v>1016</v>
      </c>
      <c r="Y36" s="378">
        <f t="shared" si="6"/>
        <v>1194</v>
      </c>
      <c r="Z36" s="378">
        <f t="shared" si="6"/>
        <v>10</v>
      </c>
      <c r="AA36" s="377">
        <f t="shared" si="6"/>
        <v>7890</v>
      </c>
      <c r="AB36" s="378">
        <f t="shared" si="6"/>
        <v>7996</v>
      </c>
      <c r="AC36" s="378">
        <f t="shared" si="6"/>
        <v>7616</v>
      </c>
      <c r="AD36" s="500">
        <f t="shared" si="6"/>
        <v>7559</v>
      </c>
    </row>
    <row r="37" spans="1:30" s="6" customFormat="1" ht="22.5" customHeight="1">
      <c r="A37" s="499" t="s">
        <v>583</v>
      </c>
      <c r="B37" s="499" t="s">
        <v>901</v>
      </c>
      <c r="C37" s="377">
        <v>3168</v>
      </c>
      <c r="D37" s="378">
        <v>2856</v>
      </c>
      <c r="E37" s="378">
        <v>2682</v>
      </c>
      <c r="F37" s="500">
        <v>3096</v>
      </c>
      <c r="G37" s="378">
        <v>934</v>
      </c>
      <c r="H37" s="378">
        <v>1186</v>
      </c>
      <c r="I37" s="378">
        <v>796</v>
      </c>
      <c r="J37" s="500">
        <v>595</v>
      </c>
      <c r="K37" s="378">
        <v>0</v>
      </c>
      <c r="L37" s="378">
        <v>20</v>
      </c>
      <c r="M37" s="378">
        <v>68</v>
      </c>
      <c r="N37" s="500">
        <v>86</v>
      </c>
      <c r="O37" s="378">
        <v>588</v>
      </c>
      <c r="P37" s="378">
        <v>1027</v>
      </c>
      <c r="Q37" s="378">
        <v>777</v>
      </c>
      <c r="R37" s="500">
        <v>711</v>
      </c>
      <c r="S37" s="378">
        <v>289</v>
      </c>
      <c r="T37" s="378">
        <v>245</v>
      </c>
      <c r="U37" s="378">
        <v>76</v>
      </c>
      <c r="V37" s="500">
        <v>8</v>
      </c>
      <c r="W37" s="378">
        <v>372</v>
      </c>
      <c r="X37" s="378">
        <v>346</v>
      </c>
      <c r="Y37" s="378">
        <v>475</v>
      </c>
      <c r="Z37" s="500">
        <v>5</v>
      </c>
      <c r="AA37" s="377">
        <f t="shared" si="5"/>
        <v>5351</v>
      </c>
      <c r="AB37" s="378">
        <f t="shared" si="5"/>
        <v>5680</v>
      </c>
      <c r="AC37" s="378">
        <f t="shared" si="5"/>
        <v>4874</v>
      </c>
      <c r="AD37" s="500">
        <f>+Z37+V37+R37+N37+J37+F37</f>
        <v>4501</v>
      </c>
    </row>
    <row r="38" spans="1:30" s="6" customFormat="1" ht="22.5" customHeight="1">
      <c r="A38" s="499" t="s">
        <v>1027</v>
      </c>
      <c r="B38" s="254" t="s">
        <v>902</v>
      </c>
      <c r="C38" s="377">
        <v>5315</v>
      </c>
      <c r="D38" s="378">
        <v>6109</v>
      </c>
      <c r="E38" s="378">
        <v>5706</v>
      </c>
      <c r="F38" s="500">
        <v>6558</v>
      </c>
      <c r="G38" s="378">
        <v>2026</v>
      </c>
      <c r="H38" s="378">
        <v>2621</v>
      </c>
      <c r="I38" s="378">
        <v>2095</v>
      </c>
      <c r="J38" s="500">
        <v>2730</v>
      </c>
      <c r="K38" s="378"/>
      <c r="L38" s="378">
        <v>408</v>
      </c>
      <c r="M38" s="378">
        <v>134</v>
      </c>
      <c r="N38" s="500">
        <v>201</v>
      </c>
      <c r="O38" s="378">
        <v>1806</v>
      </c>
      <c r="P38" s="378">
        <v>1663</v>
      </c>
      <c r="Q38" s="378">
        <v>1821</v>
      </c>
      <c r="R38" s="500">
        <v>2510</v>
      </c>
      <c r="S38" s="378">
        <v>224</v>
      </c>
      <c r="T38" s="378">
        <v>133</v>
      </c>
      <c r="U38" s="378">
        <v>131</v>
      </c>
      <c r="V38" s="500">
        <v>83</v>
      </c>
      <c r="W38" s="378">
        <v>1746</v>
      </c>
      <c r="X38" s="378">
        <v>1791</v>
      </c>
      <c r="Y38" s="378">
        <v>1710</v>
      </c>
      <c r="Z38" s="500">
        <v>1179</v>
      </c>
      <c r="AA38" s="377">
        <f t="shared" si="5"/>
        <v>11117</v>
      </c>
      <c r="AB38" s="378">
        <f t="shared" si="5"/>
        <v>12725</v>
      </c>
      <c r="AC38" s="378">
        <f t="shared" si="5"/>
        <v>11597</v>
      </c>
      <c r="AD38" s="500">
        <f>+Z38+V38+R38+N38+J38+F38</f>
        <v>13261</v>
      </c>
    </row>
    <row r="39" spans="1:30" s="6" customFormat="1" ht="22.5" customHeight="1">
      <c r="A39" s="499"/>
      <c r="B39" s="254" t="s">
        <v>1062</v>
      </c>
      <c r="C39" s="377"/>
      <c r="D39" s="378"/>
      <c r="E39" s="378"/>
      <c r="F39" s="500"/>
      <c r="G39" s="378"/>
      <c r="H39" s="378"/>
      <c r="I39" s="378"/>
      <c r="J39" s="500"/>
      <c r="K39" s="378"/>
      <c r="L39" s="378"/>
      <c r="M39" s="378"/>
      <c r="N39" s="500"/>
      <c r="O39" s="378"/>
      <c r="P39" s="378"/>
      <c r="Q39" s="378"/>
      <c r="R39" s="500"/>
      <c r="S39" s="378"/>
      <c r="T39" s="378"/>
      <c r="U39" s="378"/>
      <c r="V39" s="500">
        <v>4</v>
      </c>
      <c r="W39" s="378"/>
      <c r="X39" s="378"/>
      <c r="Y39" s="378"/>
      <c r="Z39" s="500"/>
      <c r="AA39" s="377"/>
      <c r="AB39" s="378"/>
      <c r="AC39" s="378">
        <f t="shared" si="5"/>
        <v>0</v>
      </c>
      <c r="AD39" s="500">
        <f>+Z39+V39+R39+N39+J39+F39</f>
        <v>4</v>
      </c>
    </row>
    <row r="40" spans="1:30" s="6" customFormat="1" ht="22.5" customHeight="1">
      <c r="A40" s="499" t="s">
        <v>585</v>
      </c>
      <c r="B40" s="254" t="s">
        <v>903</v>
      </c>
      <c r="C40" s="377">
        <v>5236</v>
      </c>
      <c r="D40" s="378">
        <v>4231</v>
      </c>
      <c r="E40" s="378">
        <v>3210</v>
      </c>
      <c r="F40" s="500">
        <v>3428</v>
      </c>
      <c r="G40" s="378">
        <v>1325</v>
      </c>
      <c r="H40" s="378">
        <v>1834</v>
      </c>
      <c r="I40" s="378">
        <v>1644</v>
      </c>
      <c r="J40" s="500">
        <v>1733</v>
      </c>
      <c r="K40" s="377">
        <v>148</v>
      </c>
      <c r="L40" s="378">
        <v>129</v>
      </c>
      <c r="M40" s="378">
        <v>136</v>
      </c>
      <c r="N40" s="500">
        <v>22</v>
      </c>
      <c r="O40" s="378">
        <v>954</v>
      </c>
      <c r="P40" s="378">
        <v>791</v>
      </c>
      <c r="Q40" s="378">
        <v>690</v>
      </c>
      <c r="R40" s="500">
        <v>838</v>
      </c>
      <c r="S40" s="378">
        <v>39</v>
      </c>
      <c r="T40" s="378">
        <v>36</v>
      </c>
      <c r="U40" s="378">
        <v>62</v>
      </c>
      <c r="V40" s="500">
        <v>35</v>
      </c>
      <c r="W40" s="378">
        <v>745</v>
      </c>
      <c r="X40" s="378">
        <v>545</v>
      </c>
      <c r="Y40" s="378">
        <v>451</v>
      </c>
      <c r="Z40" s="500"/>
      <c r="AA40" s="377">
        <f>+W40+S40+O40+K40+G40+C40</f>
        <v>8447</v>
      </c>
      <c r="AB40" s="378">
        <f>+X40+T40+P40+L40+H40+D40</f>
        <v>7566</v>
      </c>
      <c r="AC40" s="378">
        <f>+Y40+U40+Q40+M40+I40+E40</f>
        <v>6193</v>
      </c>
      <c r="AD40" s="500">
        <f>+Z40+V40+R40+N40+J40+F40</f>
        <v>6056</v>
      </c>
    </row>
    <row r="41" spans="1:30" s="6" customFormat="1" ht="22.5" customHeight="1">
      <c r="A41" s="499"/>
      <c r="B41" s="254" t="s">
        <v>1343</v>
      </c>
      <c r="C41" s="377"/>
      <c r="D41" s="378">
        <v>698</v>
      </c>
      <c r="E41" s="378">
        <v>720</v>
      </c>
      <c r="F41" s="500">
        <v>287</v>
      </c>
      <c r="G41" s="378"/>
      <c r="H41" s="378">
        <v>229</v>
      </c>
      <c r="I41" s="378">
        <v>231</v>
      </c>
      <c r="J41" s="500">
        <v>275</v>
      </c>
      <c r="K41" s="377"/>
      <c r="L41" s="378"/>
      <c r="M41" s="378"/>
      <c r="N41" s="500">
        <v>7</v>
      </c>
      <c r="O41" s="378"/>
      <c r="P41" s="378">
        <v>75</v>
      </c>
      <c r="Q41" s="378">
        <v>81</v>
      </c>
      <c r="R41" s="500">
        <v>120</v>
      </c>
      <c r="S41" s="378"/>
      <c r="T41" s="378"/>
      <c r="U41" s="378"/>
      <c r="V41" s="500"/>
      <c r="W41" s="378"/>
      <c r="X41" s="378">
        <v>83</v>
      </c>
      <c r="Y41" s="378">
        <v>69</v>
      </c>
      <c r="Z41" s="500"/>
      <c r="AA41" s="377"/>
      <c r="AB41" s="378">
        <f>+X41+T41+P41+L41+H41+D41</f>
        <v>1085</v>
      </c>
      <c r="AC41" s="378">
        <f>+Y41+U41+Q41+M41+I41+E41</f>
        <v>1101</v>
      </c>
      <c r="AD41" s="500">
        <f>+Z41+V41+R41+N41+J41+F41</f>
        <v>689</v>
      </c>
    </row>
    <row r="42" spans="1:30" s="6" customFormat="1" ht="22.5" customHeight="1">
      <c r="A42" s="499"/>
      <c r="B42" s="499" t="s">
        <v>690</v>
      </c>
      <c r="C42" s="377">
        <v>5236</v>
      </c>
      <c r="D42" s="378">
        <v>4929</v>
      </c>
      <c r="E42" s="378">
        <v>3930</v>
      </c>
      <c r="F42" s="500">
        <f>SUM(F40:F41)</f>
        <v>3715</v>
      </c>
      <c r="G42" s="378"/>
      <c r="H42" s="378">
        <v>2063</v>
      </c>
      <c r="I42" s="378">
        <v>1875</v>
      </c>
      <c r="J42" s="500">
        <f>SUM(J40:J41)</f>
        <v>2008</v>
      </c>
      <c r="K42" s="377"/>
      <c r="L42" s="378">
        <v>129</v>
      </c>
      <c r="M42" s="378">
        <v>136</v>
      </c>
      <c r="N42" s="500">
        <f>SUM(N40:N41)</f>
        <v>29</v>
      </c>
      <c r="O42" s="378"/>
      <c r="P42" s="378">
        <v>866</v>
      </c>
      <c r="Q42" s="378">
        <v>771</v>
      </c>
      <c r="R42" s="500">
        <f>SUM(R40:R41)</f>
        <v>958</v>
      </c>
      <c r="S42" s="378"/>
      <c r="T42" s="378">
        <v>36</v>
      </c>
      <c r="U42" s="378">
        <v>62</v>
      </c>
      <c r="V42" s="500">
        <f>SUM(V40:V41)</f>
        <v>35</v>
      </c>
      <c r="W42" s="378"/>
      <c r="X42" s="378">
        <v>628</v>
      </c>
      <c r="Y42" s="378">
        <v>520</v>
      </c>
      <c r="Z42" s="500">
        <f>SUM(Z40:Z41)</f>
        <v>0</v>
      </c>
      <c r="AA42" s="377"/>
      <c r="AB42" s="378">
        <f>SUM(AB40:AB41)</f>
        <v>8651</v>
      </c>
      <c r="AC42" s="378">
        <f>SUM(AC40:AC41)</f>
        <v>7294</v>
      </c>
      <c r="AD42" s="500">
        <f>SUM(AD40:AD41)</f>
        <v>6745</v>
      </c>
    </row>
    <row r="43" spans="1:30" s="6" customFormat="1" ht="22.5" customHeight="1">
      <c r="A43" s="509" t="s">
        <v>1028</v>
      </c>
      <c r="B43" s="505"/>
      <c r="C43" s="506">
        <f t="shared" ref="C43:AC43" si="7">SUM(C36:C41)+C27+C32</f>
        <v>40229</v>
      </c>
      <c r="D43" s="507">
        <f t="shared" si="7"/>
        <v>40105</v>
      </c>
      <c r="E43" s="507">
        <f t="shared" si="7"/>
        <v>36428</v>
      </c>
      <c r="F43" s="508">
        <f>+F27+F32+F36+F37+F38+F42+F39</f>
        <v>37995</v>
      </c>
      <c r="G43" s="506">
        <f t="shared" si="7"/>
        <v>13254</v>
      </c>
      <c r="H43" s="507">
        <f t="shared" si="7"/>
        <v>16466</v>
      </c>
      <c r="I43" s="507">
        <f t="shared" si="7"/>
        <v>15492</v>
      </c>
      <c r="J43" s="508">
        <f>+J27+J32+J36+J37+J38+J42+J39</f>
        <v>17519</v>
      </c>
      <c r="K43" s="506">
        <f t="shared" si="7"/>
        <v>1426</v>
      </c>
      <c r="L43" s="507">
        <f t="shared" si="7"/>
        <v>1863</v>
      </c>
      <c r="M43" s="507">
        <f t="shared" si="7"/>
        <v>1140</v>
      </c>
      <c r="N43" s="508">
        <f>+N27+N32+N36+N37+N38+N42+N39</f>
        <v>1229</v>
      </c>
      <c r="O43" s="506">
        <f t="shared" si="7"/>
        <v>11415</v>
      </c>
      <c r="P43" s="507">
        <f t="shared" si="7"/>
        <v>11532</v>
      </c>
      <c r="Q43" s="507">
        <f t="shared" si="7"/>
        <v>11605</v>
      </c>
      <c r="R43" s="508">
        <f>+R27+R32+R36+R37+R38+R42+R39</f>
        <v>13135</v>
      </c>
      <c r="S43" s="506">
        <f t="shared" si="7"/>
        <v>966</v>
      </c>
      <c r="T43" s="507">
        <f t="shared" si="7"/>
        <v>911</v>
      </c>
      <c r="U43" s="507">
        <f t="shared" si="7"/>
        <v>713</v>
      </c>
      <c r="V43" s="508">
        <f>+V27+V32+V36+V37+V38+V42+V39</f>
        <v>664</v>
      </c>
      <c r="W43" s="506">
        <f t="shared" si="7"/>
        <v>8671</v>
      </c>
      <c r="X43" s="507">
        <f t="shared" si="7"/>
        <v>7985</v>
      </c>
      <c r="Y43" s="507">
        <f t="shared" si="7"/>
        <v>8642</v>
      </c>
      <c r="Z43" s="508">
        <f>+Z27+Z32+Z36+Z37+Z38+Z42+Z39</f>
        <v>1213</v>
      </c>
      <c r="AA43" s="506">
        <f t="shared" si="7"/>
        <v>75961</v>
      </c>
      <c r="AB43" s="507">
        <f t="shared" si="7"/>
        <v>78862</v>
      </c>
      <c r="AC43" s="507">
        <f t="shared" si="7"/>
        <v>74020</v>
      </c>
      <c r="AD43" s="508">
        <f>+AD27+AD32+AD36+AD37+AD38+AD42+AD39</f>
        <v>71755</v>
      </c>
    </row>
    <row r="44" spans="1:30" s="6" customFormat="1" ht="22.5" customHeight="1">
      <c r="A44" s="1235" t="s">
        <v>706</v>
      </c>
      <c r="B44" s="1236"/>
      <c r="C44" s="510">
        <f t="shared" ref="C44:AC44" si="8">+C22+C43</f>
        <v>65124</v>
      </c>
      <c r="D44" s="511">
        <f t="shared" si="8"/>
        <v>63930</v>
      </c>
      <c r="E44" s="511">
        <f t="shared" si="8"/>
        <v>55469</v>
      </c>
      <c r="F44" s="512">
        <f t="shared" si="8"/>
        <v>57269</v>
      </c>
      <c r="G44" s="511">
        <f t="shared" si="8"/>
        <v>20224</v>
      </c>
      <c r="H44" s="511">
        <f t="shared" si="8"/>
        <v>26822</v>
      </c>
      <c r="I44" s="511">
        <f t="shared" si="8"/>
        <v>25773</v>
      </c>
      <c r="J44" s="512">
        <f t="shared" si="8"/>
        <v>28634</v>
      </c>
      <c r="K44" s="510">
        <f t="shared" si="8"/>
        <v>2297</v>
      </c>
      <c r="L44" s="511">
        <f t="shared" si="8"/>
        <v>2796</v>
      </c>
      <c r="M44" s="511">
        <f t="shared" si="8"/>
        <v>1978</v>
      </c>
      <c r="N44" s="512">
        <f t="shared" si="8"/>
        <v>2260</v>
      </c>
      <c r="O44" s="511">
        <f t="shared" si="8"/>
        <v>18625</v>
      </c>
      <c r="P44" s="511">
        <f t="shared" si="8"/>
        <v>18777</v>
      </c>
      <c r="Q44" s="511">
        <f t="shared" si="8"/>
        <v>17082</v>
      </c>
      <c r="R44" s="512">
        <f t="shared" si="8"/>
        <v>19162</v>
      </c>
      <c r="S44" s="510">
        <f t="shared" si="8"/>
        <v>1200</v>
      </c>
      <c r="T44" s="511">
        <f t="shared" si="8"/>
        <v>1127</v>
      </c>
      <c r="U44" s="511">
        <f t="shared" si="8"/>
        <v>954</v>
      </c>
      <c r="V44" s="512">
        <f t="shared" si="8"/>
        <v>1523</v>
      </c>
      <c r="W44" s="511">
        <f t="shared" si="8"/>
        <v>13177</v>
      </c>
      <c r="X44" s="511">
        <f t="shared" si="8"/>
        <v>12657</v>
      </c>
      <c r="Y44" s="511">
        <f t="shared" si="8"/>
        <v>13499</v>
      </c>
      <c r="Z44" s="512">
        <f t="shared" si="8"/>
        <v>2016</v>
      </c>
      <c r="AA44" s="510">
        <f>+AA22+AA43</f>
        <v>120647</v>
      </c>
      <c r="AB44" s="511">
        <f>+AB22+AB43</f>
        <v>126109</v>
      </c>
      <c r="AC44" s="511">
        <f t="shared" si="8"/>
        <v>114755</v>
      </c>
      <c r="AD44" s="512">
        <f>+AD22+AD43</f>
        <v>110864</v>
      </c>
    </row>
    <row r="45" spans="1:30">
      <c r="J45" s="119"/>
      <c r="M45" s="154"/>
      <c r="N45" s="119"/>
      <c r="R45" s="119"/>
      <c r="V45" s="119"/>
      <c r="Z45" s="119"/>
    </row>
    <row r="46" spans="1:30">
      <c r="F46" s="520"/>
      <c r="G46" s="520"/>
      <c r="H46" s="520"/>
      <c r="I46" s="520"/>
      <c r="J46" s="520"/>
      <c r="K46" s="520"/>
      <c r="L46" s="520"/>
      <c r="M46" s="520"/>
      <c r="N46" s="520"/>
      <c r="O46" s="520"/>
      <c r="P46" s="520"/>
      <c r="Q46" s="520"/>
      <c r="R46" s="520"/>
      <c r="S46" s="520"/>
      <c r="T46" s="520"/>
      <c r="U46" s="520"/>
      <c r="V46" s="520"/>
      <c r="W46" s="520"/>
      <c r="X46" s="520"/>
      <c r="Y46" s="520"/>
      <c r="Z46" s="520"/>
      <c r="AA46" s="520"/>
      <c r="AB46" s="520"/>
      <c r="AC46" s="520"/>
      <c r="AD46" s="520"/>
    </row>
    <row r="47" spans="1:30">
      <c r="F47" s="520"/>
      <c r="G47" s="520"/>
      <c r="H47" s="520"/>
      <c r="I47" s="520"/>
      <c r="J47" s="520"/>
      <c r="K47" s="520"/>
      <c r="L47" s="520"/>
      <c r="M47" s="520"/>
      <c r="N47" s="520"/>
      <c r="O47" s="520"/>
      <c r="P47" s="520"/>
      <c r="Q47" s="520"/>
      <c r="R47" s="520"/>
      <c r="S47" s="520"/>
      <c r="T47" s="520"/>
      <c r="U47" s="520"/>
      <c r="V47" s="520"/>
      <c r="W47" s="520"/>
      <c r="X47" s="520"/>
      <c r="Y47" s="520"/>
      <c r="Z47" s="520"/>
      <c r="AA47" s="520"/>
      <c r="AB47" s="520"/>
      <c r="AC47" s="520"/>
      <c r="AD47" s="520"/>
    </row>
    <row r="48" spans="1:30">
      <c r="F48" s="520"/>
      <c r="G48" s="520"/>
      <c r="H48" s="520"/>
      <c r="I48" s="520"/>
      <c r="J48" s="520"/>
      <c r="K48" s="520"/>
      <c r="L48" s="520"/>
      <c r="M48" s="520"/>
      <c r="N48" s="520"/>
      <c r="O48" s="520"/>
      <c r="P48" s="520"/>
      <c r="Q48" s="520"/>
      <c r="R48" s="520"/>
      <c r="S48" s="520"/>
      <c r="T48" s="520"/>
      <c r="U48" s="520"/>
      <c r="V48" s="520"/>
      <c r="W48" s="520"/>
      <c r="X48" s="520"/>
      <c r="Y48" s="520"/>
      <c r="Z48" s="520"/>
      <c r="AA48" s="520"/>
      <c r="AB48" s="520"/>
      <c r="AC48" s="520"/>
      <c r="AD48" s="520"/>
    </row>
    <row r="49" spans="6:30">
      <c r="F49" s="520"/>
      <c r="G49" s="517"/>
      <c r="H49" s="517"/>
      <c r="I49" s="517"/>
      <c r="J49" s="520"/>
      <c r="K49" s="517"/>
      <c r="L49" s="517"/>
      <c r="M49" s="517"/>
      <c r="N49" s="520"/>
      <c r="O49" s="517"/>
      <c r="P49" s="517"/>
      <c r="Q49" s="517"/>
      <c r="R49" s="520"/>
      <c r="S49" s="517"/>
      <c r="T49" s="517"/>
      <c r="U49" s="517"/>
      <c r="V49" s="520"/>
      <c r="W49" s="517"/>
      <c r="X49" s="517"/>
      <c r="Y49" s="517"/>
      <c r="Z49" s="520"/>
      <c r="AA49" s="517"/>
      <c r="AB49" s="517"/>
      <c r="AC49" s="517"/>
      <c r="AD49" s="520"/>
    </row>
    <row r="50" spans="6:30">
      <c r="M50" s="154"/>
    </row>
    <row r="51" spans="6:30">
      <c r="J51" s="119"/>
      <c r="M51" s="154"/>
      <c r="V51" s="119"/>
    </row>
    <row r="52" spans="6:30">
      <c r="M52" s="154"/>
      <c r="Z52" s="529"/>
    </row>
    <row r="53" spans="6:30">
      <c r="J53" s="529"/>
    </row>
  </sheetData>
  <mergeCells count="12">
    <mergeCell ref="A1:AD1"/>
    <mergeCell ref="A2:AD2"/>
    <mergeCell ref="A3:AD3"/>
    <mergeCell ref="A4:AD4"/>
    <mergeCell ref="A44:B44"/>
    <mergeCell ref="S7:V7"/>
    <mergeCell ref="W7:Z7"/>
    <mergeCell ref="AA7:AD7"/>
    <mergeCell ref="C7:F7"/>
    <mergeCell ref="G7:J7"/>
    <mergeCell ref="K7:N7"/>
    <mergeCell ref="O7:R7"/>
  </mergeCells>
  <phoneticPr fontId="19" type="noConversion"/>
  <pageMargins left="0.39370078740157483" right="0" top="0.98425196850393704" bottom="0.98425196850393704" header="0" footer="0"/>
  <pageSetup paperSize="5" scale="69" orientation="landscape" horizontalDpi="300" verticalDpi="300" r:id="rId1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53"/>
  <sheetViews>
    <sheetView topLeftCell="L41" workbookViewId="0">
      <selection activeCell="AD44" sqref="AD44"/>
    </sheetView>
  </sheetViews>
  <sheetFormatPr baseColWidth="10" defaultRowHeight="12"/>
  <cols>
    <col min="1" max="1" width="12.42578125" style="406" customWidth="1"/>
    <col min="2" max="2" width="15.85546875" style="406" customWidth="1"/>
    <col min="3" max="62" width="7.140625" style="406" customWidth="1"/>
    <col min="63" max="16384" width="11.42578125" style="406"/>
  </cols>
  <sheetData>
    <row r="1" spans="1:30">
      <c r="A1" s="1225" t="s">
        <v>1014</v>
      </c>
      <c r="B1" s="1225"/>
      <c r="C1" s="1225"/>
      <c r="D1" s="1225"/>
      <c r="E1" s="1225"/>
      <c r="F1" s="1225"/>
      <c r="G1" s="1225"/>
      <c r="H1" s="1225"/>
      <c r="I1" s="1225"/>
      <c r="J1" s="1225"/>
      <c r="K1" s="1225"/>
      <c r="L1" s="1225"/>
      <c r="M1" s="1225"/>
      <c r="N1" s="1225"/>
      <c r="O1" s="1225"/>
      <c r="P1" s="1225"/>
      <c r="Q1" s="1225"/>
      <c r="R1" s="1225"/>
      <c r="S1" s="1225"/>
      <c r="T1" s="1225"/>
      <c r="U1" s="1225"/>
      <c r="V1" s="1225"/>
      <c r="W1" s="1225"/>
      <c r="X1" s="1225"/>
      <c r="Y1" s="1225"/>
      <c r="Z1" s="1225"/>
      <c r="AA1" s="1225"/>
      <c r="AB1" s="1225"/>
      <c r="AC1" s="1225"/>
      <c r="AD1" s="1225"/>
    </row>
    <row r="2" spans="1:30">
      <c r="A2" s="1225" t="s">
        <v>1029</v>
      </c>
      <c r="B2" s="1225"/>
      <c r="C2" s="1225"/>
      <c r="D2" s="1225"/>
      <c r="E2" s="1225"/>
      <c r="F2" s="1225"/>
      <c r="G2" s="1225"/>
      <c r="H2" s="1225"/>
      <c r="I2" s="1225"/>
      <c r="J2" s="1225"/>
      <c r="K2" s="1225"/>
      <c r="L2" s="1225"/>
      <c r="M2" s="1225"/>
      <c r="N2" s="1225"/>
      <c r="O2" s="1225"/>
      <c r="P2" s="1225"/>
      <c r="Q2" s="1225"/>
      <c r="R2" s="1225"/>
      <c r="S2" s="1225"/>
      <c r="T2" s="1225"/>
      <c r="U2" s="1225"/>
      <c r="V2" s="1225"/>
      <c r="W2" s="1225"/>
      <c r="X2" s="1225"/>
      <c r="Y2" s="1225"/>
      <c r="Z2" s="1225"/>
      <c r="AA2" s="1225"/>
      <c r="AB2" s="1225"/>
      <c r="AC2" s="1225"/>
      <c r="AD2" s="1225"/>
    </row>
    <row r="3" spans="1:30">
      <c r="A3" s="1225" t="s">
        <v>970</v>
      </c>
      <c r="B3" s="1225"/>
      <c r="C3" s="1225"/>
      <c r="D3" s="1225"/>
      <c r="E3" s="1225"/>
      <c r="F3" s="1225"/>
      <c r="G3" s="1225"/>
      <c r="H3" s="1225"/>
      <c r="I3" s="1225"/>
      <c r="J3" s="1225"/>
      <c r="K3" s="1225"/>
      <c r="L3" s="1225"/>
      <c r="M3" s="1225"/>
      <c r="N3" s="1225"/>
      <c r="O3" s="1225"/>
      <c r="P3" s="1225"/>
      <c r="Q3" s="1225"/>
      <c r="R3" s="1225"/>
      <c r="S3" s="1225"/>
      <c r="T3" s="1225"/>
      <c r="U3" s="1225"/>
      <c r="V3" s="1225"/>
      <c r="W3" s="1225"/>
      <c r="X3" s="1225"/>
      <c r="Y3" s="1225"/>
      <c r="Z3" s="1225"/>
      <c r="AA3" s="1225"/>
      <c r="AB3" s="1225"/>
      <c r="AC3" s="1225"/>
      <c r="AD3" s="1225"/>
    </row>
    <row r="4" spans="1:30">
      <c r="A4" s="1225" t="str">
        <f>+'50'!A4:AD4</f>
        <v>2011 - 2014</v>
      </c>
      <c r="B4" s="1225"/>
      <c r="C4" s="1225"/>
      <c r="D4" s="1225"/>
      <c r="E4" s="1225"/>
      <c r="F4" s="1225"/>
      <c r="G4" s="1225"/>
      <c r="H4" s="1225"/>
      <c r="I4" s="1225"/>
      <c r="J4" s="1225"/>
      <c r="K4" s="1225"/>
      <c r="L4" s="1225"/>
      <c r="M4" s="1225"/>
      <c r="N4" s="1225"/>
      <c r="O4" s="1225"/>
      <c r="P4" s="1225"/>
      <c r="Q4" s="1225"/>
      <c r="R4" s="1225"/>
      <c r="S4" s="1225"/>
      <c r="T4" s="1225"/>
      <c r="U4" s="1225"/>
      <c r="V4" s="1225"/>
      <c r="W4" s="1225"/>
      <c r="X4" s="1225"/>
      <c r="Y4" s="1225"/>
      <c r="Z4" s="1225"/>
      <c r="AA4" s="1225"/>
      <c r="AB4" s="1225"/>
      <c r="AC4" s="1225"/>
      <c r="AD4" s="1225"/>
    </row>
    <row r="7" spans="1:30" s="515" customFormat="1" ht="22.5" customHeight="1">
      <c r="A7" s="513" t="s">
        <v>590</v>
      </c>
      <c r="B7" s="514" t="s">
        <v>926</v>
      </c>
      <c r="C7" s="1216" t="s">
        <v>1016</v>
      </c>
      <c r="D7" s="1217"/>
      <c r="E7" s="1217"/>
      <c r="F7" s="1218"/>
      <c r="G7" s="1216" t="s">
        <v>1017</v>
      </c>
      <c r="H7" s="1217"/>
      <c r="I7" s="1217"/>
      <c r="J7" s="1218"/>
      <c r="K7" s="1216" t="s">
        <v>1018</v>
      </c>
      <c r="L7" s="1217"/>
      <c r="M7" s="1217"/>
      <c r="N7" s="1217"/>
      <c r="O7" s="1216" t="s">
        <v>1019</v>
      </c>
      <c r="P7" s="1217"/>
      <c r="Q7" s="1217"/>
      <c r="R7" s="1218"/>
      <c r="S7" s="1217" t="s">
        <v>1020</v>
      </c>
      <c r="T7" s="1217"/>
      <c r="U7" s="1217"/>
      <c r="V7" s="1218"/>
      <c r="W7" s="1216" t="s">
        <v>1021</v>
      </c>
      <c r="X7" s="1217"/>
      <c r="Y7" s="1217"/>
      <c r="Z7" s="1218"/>
      <c r="AA7" s="1216" t="s">
        <v>706</v>
      </c>
      <c r="AB7" s="1217"/>
      <c r="AC7" s="1217"/>
      <c r="AD7" s="1218"/>
    </row>
    <row r="8" spans="1:30" s="515" customFormat="1" ht="22.5" customHeight="1">
      <c r="A8" s="495"/>
      <c r="B8" s="495"/>
      <c r="C8" s="496">
        <f>+'50'!C8</f>
        <v>2011</v>
      </c>
      <c r="D8" s="497">
        <f>+'50'!D8</f>
        <v>2012</v>
      </c>
      <c r="E8" s="497">
        <f>+'50'!E8</f>
        <v>2013</v>
      </c>
      <c r="F8" s="498">
        <f>+'50'!F8</f>
        <v>2014</v>
      </c>
      <c r="G8" s="496">
        <f>+'50'!G8</f>
        <v>2011</v>
      </c>
      <c r="H8" s="497">
        <f>+'50'!H8</f>
        <v>2012</v>
      </c>
      <c r="I8" s="497">
        <f>+'50'!I8</f>
        <v>2013</v>
      </c>
      <c r="J8" s="498">
        <f>+'50'!J8</f>
        <v>2014</v>
      </c>
      <c r="K8" s="497">
        <f>+'50'!K8</f>
        <v>2011</v>
      </c>
      <c r="L8" s="497">
        <f>+'50'!L8</f>
        <v>2012</v>
      </c>
      <c r="M8" s="497">
        <f>+'50'!M8</f>
        <v>2013</v>
      </c>
      <c r="N8" s="497">
        <f>+'50'!N8</f>
        <v>2014</v>
      </c>
      <c r="O8" s="496">
        <f>+'50'!O8</f>
        <v>2011</v>
      </c>
      <c r="P8" s="497">
        <f>+'50'!P8</f>
        <v>2012</v>
      </c>
      <c r="Q8" s="497">
        <f>+'50'!Q8</f>
        <v>2013</v>
      </c>
      <c r="R8" s="498">
        <f>+'50'!R8</f>
        <v>2014</v>
      </c>
      <c r="S8" s="497">
        <f>+'50'!S8</f>
        <v>2011</v>
      </c>
      <c r="T8" s="497">
        <f>+'50'!T8</f>
        <v>2012</v>
      </c>
      <c r="U8" s="497">
        <f>+'50'!U8</f>
        <v>2013</v>
      </c>
      <c r="V8" s="498">
        <f>+'50'!V8</f>
        <v>2014</v>
      </c>
      <c r="W8" s="496">
        <f>+'50'!W8</f>
        <v>2011</v>
      </c>
      <c r="X8" s="497">
        <f>+'50'!X8</f>
        <v>2012</v>
      </c>
      <c r="Y8" s="497">
        <f>+'50'!Y8</f>
        <v>2013</v>
      </c>
      <c r="Z8" s="498">
        <f>+'50'!Z8</f>
        <v>2014</v>
      </c>
      <c r="AA8" s="496">
        <f>+'50'!AA8</f>
        <v>2011</v>
      </c>
      <c r="AB8" s="497">
        <f>+'50'!AB8</f>
        <v>2012</v>
      </c>
      <c r="AC8" s="497">
        <f>+'50'!AC8</f>
        <v>2013</v>
      </c>
      <c r="AD8" s="498">
        <f>+'50'!AD8</f>
        <v>2014</v>
      </c>
    </row>
    <row r="9" spans="1:30" s="515" customFormat="1" ht="22.5" customHeight="1">
      <c r="A9" s="513" t="s">
        <v>1022</v>
      </c>
      <c r="B9" s="514" t="s">
        <v>887</v>
      </c>
      <c r="C9" s="378">
        <v>1962</v>
      </c>
      <c r="D9" s="378">
        <v>2642</v>
      </c>
      <c r="E9" s="378">
        <v>1849</v>
      </c>
      <c r="F9" s="500">
        <f>45+19+32+1519+117+14+73</f>
        <v>1819</v>
      </c>
      <c r="G9" s="378">
        <v>0</v>
      </c>
      <c r="H9" s="378">
        <v>0</v>
      </c>
      <c r="I9" s="378">
        <v>91</v>
      </c>
      <c r="J9" s="500">
        <v>265</v>
      </c>
      <c r="K9" s="378">
        <v>153</v>
      </c>
      <c r="L9" s="378">
        <v>116</v>
      </c>
      <c r="M9" s="378">
        <v>100</v>
      </c>
      <c r="N9" s="500">
        <v>63</v>
      </c>
      <c r="O9" s="378">
        <v>417</v>
      </c>
      <c r="P9" s="378">
        <v>366</v>
      </c>
      <c r="Q9" s="378">
        <v>328</v>
      </c>
      <c r="R9" s="500">
        <f>23+292</f>
        <v>315</v>
      </c>
      <c r="S9" s="378">
        <v>130</v>
      </c>
      <c r="T9" s="378">
        <v>95</v>
      </c>
      <c r="U9" s="378">
        <v>92</v>
      </c>
      <c r="V9" s="500">
        <v>78</v>
      </c>
      <c r="W9" s="503">
        <v>0</v>
      </c>
      <c r="X9" s="503">
        <v>1</v>
      </c>
      <c r="Y9" s="378"/>
      <c r="Z9" s="378"/>
      <c r="AA9" s="377">
        <f t="shared" ref="AA9:AD12" si="0">+W9+S9+O9+K9+G9+C9</f>
        <v>2662</v>
      </c>
      <c r="AB9" s="378">
        <f t="shared" si="0"/>
        <v>3220</v>
      </c>
      <c r="AC9" s="378">
        <f t="shared" si="0"/>
        <v>2460</v>
      </c>
      <c r="AD9" s="500">
        <f t="shared" si="0"/>
        <v>2540</v>
      </c>
    </row>
    <row r="10" spans="1:30" s="515" customFormat="1" ht="22.5" customHeight="1">
      <c r="A10" s="499"/>
      <c r="B10" s="350" t="s">
        <v>888</v>
      </c>
      <c r="C10" s="378">
        <v>3182</v>
      </c>
      <c r="D10" s="378">
        <v>3185</v>
      </c>
      <c r="E10" s="378">
        <v>2233</v>
      </c>
      <c r="F10" s="500">
        <v>1697</v>
      </c>
      <c r="G10" s="378">
        <v>0</v>
      </c>
      <c r="H10" s="378">
        <v>0</v>
      </c>
      <c r="I10" s="378">
        <v>0</v>
      </c>
      <c r="J10" s="500"/>
      <c r="K10" s="378">
        <v>38</v>
      </c>
      <c r="L10" s="378">
        <v>41</v>
      </c>
      <c r="M10" s="378">
        <v>38</v>
      </c>
      <c r="N10" s="500">
        <v>28</v>
      </c>
      <c r="O10" s="378">
        <v>344</v>
      </c>
      <c r="P10" s="378">
        <v>238</v>
      </c>
      <c r="Q10" s="378">
        <v>279</v>
      </c>
      <c r="R10" s="500">
        <v>266</v>
      </c>
      <c r="S10" s="378">
        <v>272</v>
      </c>
      <c r="T10" s="378">
        <v>402</v>
      </c>
      <c r="U10" s="378">
        <v>327</v>
      </c>
      <c r="V10" s="500">
        <v>192</v>
      </c>
      <c r="W10" s="378">
        <v>22</v>
      </c>
      <c r="X10" s="378">
        <v>10</v>
      </c>
      <c r="Y10" s="378"/>
      <c r="Z10" s="378"/>
      <c r="AA10" s="377">
        <f t="shared" si="0"/>
        <v>3858</v>
      </c>
      <c r="AB10" s="378">
        <f t="shared" si="0"/>
        <v>3876</v>
      </c>
      <c r="AC10" s="378">
        <f t="shared" si="0"/>
        <v>2877</v>
      </c>
      <c r="AD10" s="500">
        <f t="shared" si="0"/>
        <v>2183</v>
      </c>
    </row>
    <row r="11" spans="1:30" s="515" customFormat="1" ht="22.5" customHeight="1">
      <c r="A11" s="499"/>
      <c r="B11" s="350" t="s">
        <v>889</v>
      </c>
      <c r="C11" s="378">
        <v>425</v>
      </c>
      <c r="D11" s="378">
        <v>841</v>
      </c>
      <c r="E11" s="378">
        <v>794</v>
      </c>
      <c r="F11" s="500">
        <v>599</v>
      </c>
      <c r="G11" s="378"/>
      <c r="H11" s="378">
        <v>2</v>
      </c>
      <c r="I11" s="378">
        <v>12</v>
      </c>
      <c r="J11" s="500"/>
      <c r="K11" s="378">
        <v>23</v>
      </c>
      <c r="L11" s="378">
        <v>26</v>
      </c>
      <c r="M11" s="378">
        <v>42</v>
      </c>
      <c r="N11" s="500">
        <v>285</v>
      </c>
      <c r="O11" s="378">
        <v>104</v>
      </c>
      <c r="P11" s="378">
        <v>120</v>
      </c>
      <c r="Q11" s="378">
        <v>112</v>
      </c>
      <c r="R11" s="500">
        <v>107</v>
      </c>
      <c r="S11" s="378">
        <v>36</v>
      </c>
      <c r="T11" s="378">
        <v>15</v>
      </c>
      <c r="U11" s="378">
        <v>48</v>
      </c>
      <c r="V11" s="500">
        <v>42</v>
      </c>
      <c r="W11" s="378"/>
      <c r="X11" s="378"/>
      <c r="Y11" s="378"/>
      <c r="Z11" s="378"/>
      <c r="AA11" s="377">
        <f t="shared" si="0"/>
        <v>588</v>
      </c>
      <c r="AB11" s="378">
        <f t="shared" si="0"/>
        <v>1004</v>
      </c>
      <c r="AC11" s="378">
        <f t="shared" si="0"/>
        <v>1008</v>
      </c>
      <c r="AD11" s="500">
        <f t="shared" si="0"/>
        <v>1033</v>
      </c>
    </row>
    <row r="12" spans="1:30" s="515" customFormat="1" ht="22.5" customHeight="1">
      <c r="A12" s="499"/>
      <c r="B12" s="303" t="s">
        <v>1357</v>
      </c>
      <c r="C12" s="378"/>
      <c r="D12" s="378">
        <v>133</v>
      </c>
      <c r="E12" s="378">
        <v>100</v>
      </c>
      <c r="F12" s="500">
        <v>153</v>
      </c>
      <c r="G12" s="378"/>
      <c r="H12" s="378">
        <v>1</v>
      </c>
      <c r="I12" s="378">
        <v>91</v>
      </c>
      <c r="J12" s="500">
        <v>1</v>
      </c>
      <c r="K12" s="378"/>
      <c r="L12" s="378"/>
      <c r="M12" s="378">
        <v>3</v>
      </c>
      <c r="N12" s="500">
        <v>4</v>
      </c>
      <c r="O12" s="378"/>
      <c r="P12" s="378">
        <v>32</v>
      </c>
      <c r="Q12" s="378">
        <v>13</v>
      </c>
      <c r="R12" s="500">
        <v>15</v>
      </c>
      <c r="S12" s="378"/>
      <c r="T12" s="378"/>
      <c r="U12" s="378">
        <v>4</v>
      </c>
      <c r="V12" s="500">
        <v>4</v>
      </c>
      <c r="W12" s="378"/>
      <c r="X12" s="378"/>
      <c r="Y12" s="378"/>
      <c r="Z12" s="378"/>
      <c r="AA12" s="377"/>
      <c r="AB12" s="378">
        <f t="shared" si="0"/>
        <v>166</v>
      </c>
      <c r="AC12" s="378">
        <f t="shared" si="0"/>
        <v>211</v>
      </c>
      <c r="AD12" s="500">
        <f>+Z12+V12+R12+N12+J12+F12</f>
        <v>177</v>
      </c>
    </row>
    <row r="13" spans="1:30" s="515" customFormat="1" ht="22.5" customHeight="1">
      <c r="A13" s="499"/>
      <c r="B13" s="499" t="s">
        <v>690</v>
      </c>
      <c r="C13" s="378">
        <f t="shared" ref="C13:D13" si="1">SUM(C9:C12)</f>
        <v>5569</v>
      </c>
      <c r="D13" s="378">
        <f t="shared" si="1"/>
        <v>6801</v>
      </c>
      <c r="E13" s="378">
        <f>SUM(E9:E12)</f>
        <v>4976</v>
      </c>
      <c r="F13" s="500">
        <f>SUM(F9:F12)</f>
        <v>4268</v>
      </c>
      <c r="G13" s="378">
        <f t="shared" ref="G13" si="2">SUM(G9:G12)</f>
        <v>0</v>
      </c>
      <c r="H13" s="378">
        <f t="shared" ref="H13:J13" si="3">SUM(H9:H12)</f>
        <v>3</v>
      </c>
      <c r="I13" s="378">
        <f t="shared" si="3"/>
        <v>194</v>
      </c>
      <c r="J13" s="500">
        <f t="shared" si="3"/>
        <v>266</v>
      </c>
      <c r="K13" s="378">
        <f t="shared" ref="K13" si="4">SUM(K9:K12)</f>
        <v>214</v>
      </c>
      <c r="L13" s="378">
        <f t="shared" ref="L13:N13" si="5">SUM(L9:L12)</f>
        <v>183</v>
      </c>
      <c r="M13" s="378">
        <f t="shared" si="5"/>
        <v>183</v>
      </c>
      <c r="N13" s="500">
        <f t="shared" si="5"/>
        <v>380</v>
      </c>
      <c r="O13" s="378">
        <f t="shared" ref="O13" si="6">SUM(O9:O12)</f>
        <v>865</v>
      </c>
      <c r="P13" s="378">
        <f t="shared" ref="P13:R13" si="7">SUM(P9:P12)</f>
        <v>756</v>
      </c>
      <c r="Q13" s="378">
        <f t="shared" si="7"/>
        <v>732</v>
      </c>
      <c r="R13" s="500">
        <f t="shared" si="7"/>
        <v>703</v>
      </c>
      <c r="S13" s="378">
        <f t="shared" ref="S13" si="8">SUM(S9:S12)</f>
        <v>438</v>
      </c>
      <c r="T13" s="378">
        <f t="shared" ref="T13:V13" si="9">SUM(T9:T12)</f>
        <v>512</v>
      </c>
      <c r="U13" s="378">
        <f t="shared" si="9"/>
        <v>471</v>
      </c>
      <c r="V13" s="500">
        <f t="shared" si="9"/>
        <v>316</v>
      </c>
      <c r="W13" s="378">
        <f t="shared" ref="W13" si="10">SUM(W9:W12)</f>
        <v>22</v>
      </c>
      <c r="X13" s="378">
        <f t="shared" ref="X13:Z13" si="11">SUM(X9:X12)</f>
        <v>11</v>
      </c>
      <c r="Y13" s="378">
        <f t="shared" si="11"/>
        <v>0</v>
      </c>
      <c r="Z13" s="500">
        <f t="shared" si="11"/>
        <v>0</v>
      </c>
      <c r="AA13" s="378">
        <f t="shared" ref="AA13" si="12">SUM(AA9:AA12)</f>
        <v>7108</v>
      </c>
      <c r="AB13" s="378">
        <f t="shared" ref="AB13:AD13" si="13">SUM(AB9:AB12)</f>
        <v>8266</v>
      </c>
      <c r="AC13" s="378">
        <f t="shared" si="13"/>
        <v>6556</v>
      </c>
      <c r="AD13" s="500">
        <f t="shared" si="13"/>
        <v>5933</v>
      </c>
    </row>
    <row r="14" spans="1:30" s="515" customFormat="1" ht="22.5" customHeight="1">
      <c r="A14" s="499" t="s">
        <v>576</v>
      </c>
      <c r="B14" s="350" t="s">
        <v>890</v>
      </c>
      <c r="C14" s="378">
        <v>3895</v>
      </c>
      <c r="D14" s="378">
        <v>1764</v>
      </c>
      <c r="E14" s="378">
        <v>1463</v>
      </c>
      <c r="F14" s="500">
        <v>1930</v>
      </c>
      <c r="G14" s="378">
        <v>0</v>
      </c>
      <c r="H14" s="378">
        <v>12</v>
      </c>
      <c r="I14" s="378">
        <v>95</v>
      </c>
      <c r="J14" s="500">
        <v>93</v>
      </c>
      <c r="K14" s="378">
        <v>71</v>
      </c>
      <c r="L14" s="378">
        <v>56</v>
      </c>
      <c r="M14" s="378">
        <v>181</v>
      </c>
      <c r="N14" s="500">
        <v>121</v>
      </c>
      <c r="O14" s="378">
        <v>6</v>
      </c>
      <c r="P14" s="378">
        <v>110</v>
      </c>
      <c r="Q14" s="378">
        <v>107</v>
      </c>
      <c r="R14" s="500">
        <v>105</v>
      </c>
      <c r="S14" s="378">
        <v>152</v>
      </c>
      <c r="T14" s="378">
        <v>92</v>
      </c>
      <c r="U14" s="378">
        <v>97</v>
      </c>
      <c r="V14" s="500">
        <v>166</v>
      </c>
      <c r="W14" s="378"/>
      <c r="X14" s="378"/>
      <c r="Y14" s="378"/>
      <c r="Z14" s="500"/>
      <c r="AA14" s="377">
        <f>+W14+S14+O14+K14+G14+C14</f>
        <v>4124</v>
      </c>
      <c r="AB14" s="378">
        <f>+X14+T14+P14+L14+H14+D14</f>
        <v>2034</v>
      </c>
      <c r="AC14" s="378">
        <f>+Y14+U14+Q14+M14+I14+E14</f>
        <v>1943</v>
      </c>
      <c r="AD14" s="500">
        <f>+Z14+V14+R14+N14+J14+F14</f>
        <v>2415</v>
      </c>
    </row>
    <row r="15" spans="1:30" s="515" customFormat="1" ht="22.5" customHeight="1">
      <c r="A15" s="499"/>
      <c r="B15" s="303" t="s">
        <v>1362</v>
      </c>
      <c r="C15" s="378"/>
      <c r="D15" s="378">
        <v>841</v>
      </c>
      <c r="E15" s="378">
        <v>239</v>
      </c>
      <c r="F15" s="500">
        <v>207</v>
      </c>
      <c r="G15" s="378"/>
      <c r="H15" s="378">
        <v>2</v>
      </c>
      <c r="I15" s="378">
        <v>27</v>
      </c>
      <c r="J15" s="500">
        <v>12</v>
      </c>
      <c r="K15" s="378"/>
      <c r="L15" s="378">
        <v>26</v>
      </c>
      <c r="M15" s="378">
        <v>45</v>
      </c>
      <c r="N15" s="500">
        <v>11</v>
      </c>
      <c r="O15" s="378"/>
      <c r="P15" s="378">
        <v>120</v>
      </c>
      <c r="Q15" s="378">
        <v>37</v>
      </c>
      <c r="R15" s="500">
        <v>24</v>
      </c>
      <c r="S15" s="378"/>
      <c r="T15" s="378">
        <v>15</v>
      </c>
      <c r="U15" s="378"/>
      <c r="V15" s="500"/>
      <c r="W15" s="378"/>
      <c r="X15" s="378"/>
      <c r="Y15" s="378"/>
      <c r="Z15" s="500"/>
      <c r="AA15" s="377"/>
      <c r="AB15" s="378">
        <f t="shared" ref="AB15:AD16" si="14">+X15+T15+P15+L15+H15+D15</f>
        <v>1004</v>
      </c>
      <c r="AC15" s="378">
        <f t="shared" si="14"/>
        <v>348</v>
      </c>
      <c r="AD15" s="500">
        <f t="shared" si="14"/>
        <v>254</v>
      </c>
    </row>
    <row r="16" spans="1:30" s="515" customFormat="1" ht="22.5" customHeight="1">
      <c r="A16" s="499"/>
      <c r="B16" s="303" t="s">
        <v>1359</v>
      </c>
      <c r="C16" s="378"/>
      <c r="D16" s="378">
        <v>297</v>
      </c>
      <c r="E16" s="378">
        <v>150</v>
      </c>
      <c r="F16" s="500">
        <v>175</v>
      </c>
      <c r="G16" s="378"/>
      <c r="H16" s="378">
        <v>0</v>
      </c>
      <c r="I16" s="378">
        <v>3</v>
      </c>
      <c r="J16" s="500"/>
      <c r="K16" s="378"/>
      <c r="L16" s="378">
        <v>8</v>
      </c>
      <c r="M16" s="378">
        <v>7</v>
      </c>
      <c r="N16" s="500">
        <v>4</v>
      </c>
      <c r="O16" s="378"/>
      <c r="P16" s="378">
        <v>14</v>
      </c>
      <c r="Q16" s="378">
        <v>17</v>
      </c>
      <c r="R16" s="500">
        <v>8</v>
      </c>
      <c r="S16" s="378"/>
      <c r="T16" s="378"/>
      <c r="U16" s="378"/>
      <c r="V16" s="500"/>
      <c r="W16" s="378"/>
      <c r="X16" s="378"/>
      <c r="Y16" s="378">
        <v>1</v>
      </c>
      <c r="Z16" s="500"/>
      <c r="AA16" s="377"/>
      <c r="AB16" s="378">
        <f t="shared" si="14"/>
        <v>319</v>
      </c>
      <c r="AC16" s="378">
        <f t="shared" si="14"/>
        <v>178</v>
      </c>
      <c r="AD16" s="500">
        <f t="shared" si="14"/>
        <v>187</v>
      </c>
    </row>
    <row r="17" spans="1:30" s="515" customFormat="1" ht="22.5" customHeight="1">
      <c r="A17" s="499"/>
      <c r="B17" s="350" t="s">
        <v>690</v>
      </c>
      <c r="C17" s="378">
        <f t="shared" ref="C17:D17" si="15">SUM(C14:C16)</f>
        <v>3895</v>
      </c>
      <c r="D17" s="378">
        <f t="shared" si="15"/>
        <v>2902</v>
      </c>
      <c r="E17" s="378">
        <f>SUM(E14:E16)</f>
        <v>1852</v>
      </c>
      <c r="F17" s="500">
        <f>SUM(F14:F16)</f>
        <v>2312</v>
      </c>
      <c r="G17" s="378">
        <f t="shared" ref="G17" si="16">SUM(G14:G16)</f>
        <v>0</v>
      </c>
      <c r="H17" s="378">
        <f t="shared" ref="H17:J17" si="17">SUM(H14:H16)</f>
        <v>14</v>
      </c>
      <c r="I17" s="378">
        <f t="shared" si="17"/>
        <v>125</v>
      </c>
      <c r="J17" s="500">
        <f t="shared" si="17"/>
        <v>105</v>
      </c>
      <c r="K17" s="378">
        <f t="shared" ref="K17" si="18">SUM(K14:K16)</f>
        <v>71</v>
      </c>
      <c r="L17" s="378">
        <f t="shared" ref="L17:N17" si="19">SUM(L14:L16)</f>
        <v>90</v>
      </c>
      <c r="M17" s="378">
        <f t="shared" si="19"/>
        <v>233</v>
      </c>
      <c r="N17" s="500">
        <f t="shared" si="19"/>
        <v>136</v>
      </c>
      <c r="O17" s="378">
        <f t="shared" ref="O17" si="20">SUM(O14:O16)</f>
        <v>6</v>
      </c>
      <c r="P17" s="378">
        <f t="shared" ref="P17:R17" si="21">SUM(P14:P16)</f>
        <v>244</v>
      </c>
      <c r="Q17" s="378">
        <f t="shared" si="21"/>
        <v>161</v>
      </c>
      <c r="R17" s="500">
        <f t="shared" si="21"/>
        <v>137</v>
      </c>
      <c r="S17" s="378">
        <f t="shared" ref="S17" si="22">SUM(S14:S16)</f>
        <v>152</v>
      </c>
      <c r="T17" s="378">
        <f t="shared" ref="T17:V17" si="23">SUM(T14:T16)</f>
        <v>107</v>
      </c>
      <c r="U17" s="378">
        <f t="shared" si="23"/>
        <v>97</v>
      </c>
      <c r="V17" s="500">
        <f t="shared" si="23"/>
        <v>166</v>
      </c>
      <c r="W17" s="378">
        <f t="shared" ref="W17" si="24">SUM(W14:W16)</f>
        <v>0</v>
      </c>
      <c r="X17" s="378">
        <f t="shared" ref="X17:Z17" si="25">SUM(X14:X16)</f>
        <v>0</v>
      </c>
      <c r="Y17" s="378">
        <f t="shared" si="25"/>
        <v>1</v>
      </c>
      <c r="Z17" s="500">
        <f t="shared" si="25"/>
        <v>0</v>
      </c>
      <c r="AA17" s="378">
        <f t="shared" ref="AA17" si="26">SUM(AA14:AA16)</f>
        <v>4124</v>
      </c>
      <c r="AB17" s="378">
        <f t="shared" ref="AB17:AD17" si="27">SUM(AB14:AB16)</f>
        <v>3357</v>
      </c>
      <c r="AC17" s="378">
        <f t="shared" si="27"/>
        <v>2469</v>
      </c>
      <c r="AD17" s="500">
        <f t="shared" si="27"/>
        <v>2856</v>
      </c>
    </row>
    <row r="18" spans="1:30" s="515" customFormat="1" ht="22.5" customHeight="1">
      <c r="A18" s="499" t="s">
        <v>1023</v>
      </c>
      <c r="B18" s="350" t="s">
        <v>892</v>
      </c>
      <c r="C18" s="378">
        <v>1702</v>
      </c>
      <c r="D18" s="378">
        <v>1314</v>
      </c>
      <c r="E18" s="378">
        <v>1197</v>
      </c>
      <c r="F18" s="500">
        <v>1563</v>
      </c>
      <c r="G18" s="378">
        <v>7</v>
      </c>
      <c r="H18" s="378">
        <v>0</v>
      </c>
      <c r="I18" s="378">
        <v>31</v>
      </c>
      <c r="J18" s="500">
        <v>112</v>
      </c>
      <c r="K18" s="378">
        <v>34</v>
      </c>
      <c r="L18" s="378">
        <v>53</v>
      </c>
      <c r="M18" s="378">
        <v>46</v>
      </c>
      <c r="N18" s="500">
        <v>58</v>
      </c>
      <c r="O18" s="378">
        <v>176</v>
      </c>
      <c r="P18" s="378">
        <v>172</v>
      </c>
      <c r="Q18" s="378">
        <v>100</v>
      </c>
      <c r="R18" s="500">
        <v>82</v>
      </c>
      <c r="S18" s="378">
        <v>32</v>
      </c>
      <c r="T18" s="378">
        <v>40</v>
      </c>
      <c r="U18" s="378">
        <v>12</v>
      </c>
      <c r="V18" s="500">
        <v>75</v>
      </c>
      <c r="W18" s="378"/>
      <c r="X18" s="378"/>
      <c r="Y18" s="378"/>
      <c r="Z18" s="500"/>
      <c r="AA18" s="377">
        <f>+W18+S18+O18+K18+G18+C18</f>
        <v>1951</v>
      </c>
      <c r="AB18" s="378">
        <f>+X18+T18+P18+L18+H18+D18</f>
        <v>1579</v>
      </c>
      <c r="AC18" s="378">
        <f>+Y18+U18+Q18+M18+I18+E18</f>
        <v>1386</v>
      </c>
      <c r="AD18" s="500">
        <f>+Z18+V18+R18+N18+J18+F18</f>
        <v>1890</v>
      </c>
    </row>
    <row r="19" spans="1:30" s="515" customFormat="1" ht="22.5" customHeight="1">
      <c r="A19" s="499"/>
      <c r="B19" s="303" t="s">
        <v>1361</v>
      </c>
      <c r="C19" s="378"/>
      <c r="D19" s="378">
        <v>162</v>
      </c>
      <c r="E19" s="378">
        <v>113</v>
      </c>
      <c r="F19" s="500">
        <v>139</v>
      </c>
      <c r="G19" s="378"/>
      <c r="H19" s="378">
        <v>0</v>
      </c>
      <c r="I19" s="378">
        <v>9</v>
      </c>
      <c r="J19" s="500">
        <v>22</v>
      </c>
      <c r="K19" s="378"/>
      <c r="L19" s="378">
        <v>6</v>
      </c>
      <c r="M19" s="378">
        <v>5</v>
      </c>
      <c r="N19" s="500">
        <v>2</v>
      </c>
      <c r="O19" s="378"/>
      <c r="P19" s="378">
        <v>10</v>
      </c>
      <c r="Q19" s="378">
        <v>8</v>
      </c>
      <c r="R19" s="500">
        <v>19</v>
      </c>
      <c r="S19" s="378"/>
      <c r="T19" s="378"/>
      <c r="U19" s="378"/>
      <c r="V19" s="500"/>
      <c r="W19" s="378"/>
      <c r="X19" s="378"/>
      <c r="Y19" s="378"/>
      <c r="Z19" s="500"/>
      <c r="AA19" s="377"/>
      <c r="AB19" s="378">
        <f>+X19+T19+P19+L19+H19+D19</f>
        <v>178</v>
      </c>
      <c r="AC19" s="378">
        <f>+Y19+U19+Q19+M19+I19+E19</f>
        <v>135</v>
      </c>
      <c r="AD19" s="500">
        <f>+Z19+V19+R19+N19+J19+F19</f>
        <v>182</v>
      </c>
    </row>
    <row r="20" spans="1:30" s="515" customFormat="1" ht="22.5" customHeight="1">
      <c r="A20" s="499"/>
      <c r="B20" s="350" t="s">
        <v>690</v>
      </c>
      <c r="C20" s="378">
        <f>SUM(C18:C19)</f>
        <v>1702</v>
      </c>
      <c r="D20" s="378">
        <f>SUM(D18:D19)</f>
        <v>1476</v>
      </c>
      <c r="E20" s="378">
        <f>SUM(E18:E19)</f>
        <v>1310</v>
      </c>
      <c r="F20" s="500">
        <f>SUM(F18:F19)</f>
        <v>1702</v>
      </c>
      <c r="G20" s="378">
        <f t="shared" ref="G20:AD20" si="28">SUM(G18:G19)</f>
        <v>7</v>
      </c>
      <c r="H20" s="378">
        <f t="shared" si="28"/>
        <v>0</v>
      </c>
      <c r="I20" s="378">
        <f t="shared" si="28"/>
        <v>40</v>
      </c>
      <c r="J20" s="500">
        <f t="shared" si="28"/>
        <v>134</v>
      </c>
      <c r="K20" s="378">
        <f t="shared" si="28"/>
        <v>34</v>
      </c>
      <c r="L20" s="378">
        <f t="shared" si="28"/>
        <v>59</v>
      </c>
      <c r="M20" s="378">
        <f t="shared" si="28"/>
        <v>51</v>
      </c>
      <c r="N20" s="500">
        <f t="shared" si="28"/>
        <v>60</v>
      </c>
      <c r="O20" s="378">
        <f t="shared" si="28"/>
        <v>176</v>
      </c>
      <c r="P20" s="378">
        <f t="shared" si="28"/>
        <v>182</v>
      </c>
      <c r="Q20" s="378">
        <f t="shared" si="28"/>
        <v>108</v>
      </c>
      <c r="R20" s="500">
        <f t="shared" si="28"/>
        <v>101</v>
      </c>
      <c r="S20" s="378">
        <f t="shared" si="28"/>
        <v>32</v>
      </c>
      <c r="T20" s="378">
        <f t="shared" si="28"/>
        <v>40</v>
      </c>
      <c r="U20" s="378">
        <f t="shared" si="28"/>
        <v>12</v>
      </c>
      <c r="V20" s="500">
        <f t="shared" si="28"/>
        <v>75</v>
      </c>
      <c r="W20" s="378">
        <f t="shared" si="28"/>
        <v>0</v>
      </c>
      <c r="X20" s="378">
        <f t="shared" si="28"/>
        <v>0</v>
      </c>
      <c r="Y20" s="378">
        <f t="shared" si="28"/>
        <v>0</v>
      </c>
      <c r="Z20" s="500">
        <f t="shared" si="28"/>
        <v>0</v>
      </c>
      <c r="AA20" s="378">
        <f t="shared" si="28"/>
        <v>1951</v>
      </c>
      <c r="AB20" s="378">
        <f t="shared" si="28"/>
        <v>1757</v>
      </c>
      <c r="AC20" s="378">
        <f t="shared" si="28"/>
        <v>1521</v>
      </c>
      <c r="AD20" s="500">
        <f t="shared" si="28"/>
        <v>2072</v>
      </c>
    </row>
    <row r="21" spans="1:30" s="515" customFormat="1" ht="22.5" customHeight="1">
      <c r="A21" s="499" t="s">
        <v>578</v>
      </c>
      <c r="B21" s="350" t="s">
        <v>893</v>
      </c>
      <c r="C21" s="378">
        <v>1943</v>
      </c>
      <c r="D21" s="378">
        <v>2045</v>
      </c>
      <c r="E21" s="378">
        <v>2291</v>
      </c>
      <c r="F21" s="500">
        <v>1755</v>
      </c>
      <c r="G21" s="378">
        <v>0</v>
      </c>
      <c r="H21" s="378">
        <v>39</v>
      </c>
      <c r="I21" s="378"/>
      <c r="J21" s="500">
        <v>9</v>
      </c>
      <c r="K21" s="378">
        <v>35</v>
      </c>
      <c r="L21" s="378">
        <v>16</v>
      </c>
      <c r="M21" s="378">
        <v>65</v>
      </c>
      <c r="N21" s="500">
        <v>85</v>
      </c>
      <c r="O21" s="378">
        <v>144</v>
      </c>
      <c r="P21" s="378">
        <v>223</v>
      </c>
      <c r="Q21" s="378">
        <v>195</v>
      </c>
      <c r="R21" s="500">
        <v>223</v>
      </c>
      <c r="S21" s="378">
        <v>71</v>
      </c>
      <c r="T21" s="378">
        <v>76</v>
      </c>
      <c r="U21" s="378">
        <v>15</v>
      </c>
      <c r="V21" s="500">
        <v>123</v>
      </c>
      <c r="W21" s="378"/>
      <c r="X21" s="378"/>
      <c r="Y21" s="378"/>
      <c r="Z21" s="500"/>
      <c r="AA21" s="377">
        <f>+W21+S21+O21+K21+G21+C21</f>
        <v>2193</v>
      </c>
      <c r="AB21" s="378">
        <f>+X21+T21+P21+L21+H21+D21</f>
        <v>2399</v>
      </c>
      <c r="AC21" s="378">
        <f>+Y21+U21+Q21+M21+I21+E21</f>
        <v>2566</v>
      </c>
      <c r="AD21" s="500">
        <f>+Z21+V21+R21+N21+J21+F21</f>
        <v>2195</v>
      </c>
    </row>
    <row r="22" spans="1:30" s="515" customFormat="1" ht="22.5" customHeight="1">
      <c r="A22" s="509" t="s">
        <v>1024</v>
      </c>
      <c r="B22" s="1068"/>
      <c r="C22" s="507">
        <f>+C13+C17+C20+C21</f>
        <v>13109</v>
      </c>
      <c r="D22" s="507">
        <f>+D13+D17+D20+D21</f>
        <v>13224</v>
      </c>
      <c r="E22" s="507">
        <f>+E13+E17+E20+E21</f>
        <v>10429</v>
      </c>
      <c r="F22" s="508">
        <f>+F13+F17+F20+F21</f>
        <v>10037</v>
      </c>
      <c r="G22" s="507">
        <f t="shared" ref="G22:AD22" si="29">+G13+G17+G20+G21</f>
        <v>7</v>
      </c>
      <c r="H22" s="507">
        <f t="shared" si="29"/>
        <v>56</v>
      </c>
      <c r="I22" s="507">
        <f t="shared" si="29"/>
        <v>359</v>
      </c>
      <c r="J22" s="508">
        <f t="shared" si="29"/>
        <v>514</v>
      </c>
      <c r="K22" s="507">
        <f t="shared" si="29"/>
        <v>354</v>
      </c>
      <c r="L22" s="507">
        <f t="shared" si="29"/>
        <v>348</v>
      </c>
      <c r="M22" s="507">
        <f t="shared" si="29"/>
        <v>532</v>
      </c>
      <c r="N22" s="508">
        <f t="shared" si="29"/>
        <v>661</v>
      </c>
      <c r="O22" s="507">
        <f t="shared" si="29"/>
        <v>1191</v>
      </c>
      <c r="P22" s="507">
        <f t="shared" si="29"/>
        <v>1405</v>
      </c>
      <c r="Q22" s="507">
        <f t="shared" si="29"/>
        <v>1196</v>
      </c>
      <c r="R22" s="508">
        <f t="shared" si="29"/>
        <v>1164</v>
      </c>
      <c r="S22" s="507">
        <f t="shared" si="29"/>
        <v>693</v>
      </c>
      <c r="T22" s="507">
        <f t="shared" si="29"/>
        <v>735</v>
      </c>
      <c r="U22" s="507">
        <f t="shared" si="29"/>
        <v>595</v>
      </c>
      <c r="V22" s="508">
        <f t="shared" si="29"/>
        <v>680</v>
      </c>
      <c r="W22" s="507">
        <f t="shared" si="29"/>
        <v>22</v>
      </c>
      <c r="X22" s="507">
        <f t="shared" si="29"/>
        <v>11</v>
      </c>
      <c r="Y22" s="507">
        <f t="shared" si="29"/>
        <v>1</v>
      </c>
      <c r="Z22" s="508">
        <f t="shared" si="29"/>
        <v>0</v>
      </c>
      <c r="AA22" s="507">
        <f t="shared" si="29"/>
        <v>15376</v>
      </c>
      <c r="AB22" s="507">
        <f t="shared" si="29"/>
        <v>15779</v>
      </c>
      <c r="AC22" s="507">
        <f t="shared" si="29"/>
        <v>13112</v>
      </c>
      <c r="AD22" s="508">
        <f t="shared" si="29"/>
        <v>13056</v>
      </c>
    </row>
    <row r="23" spans="1:30" s="515" customFormat="1" ht="22.5" customHeight="1">
      <c r="A23" s="499" t="s">
        <v>1025</v>
      </c>
      <c r="B23" s="350" t="s">
        <v>895</v>
      </c>
      <c r="C23" s="378">
        <v>2975</v>
      </c>
      <c r="D23" s="378">
        <v>2617</v>
      </c>
      <c r="E23" s="378">
        <v>2930</v>
      </c>
      <c r="F23" s="500">
        <v>2554</v>
      </c>
      <c r="G23" s="378">
        <v>4</v>
      </c>
      <c r="H23" s="378">
        <v>0</v>
      </c>
      <c r="I23" s="378">
        <v>72</v>
      </c>
      <c r="J23" s="500">
        <v>104</v>
      </c>
      <c r="K23" s="378">
        <v>114</v>
      </c>
      <c r="L23" s="378">
        <v>64</v>
      </c>
      <c r="M23" s="378">
        <v>139</v>
      </c>
      <c r="N23" s="500">
        <v>192</v>
      </c>
      <c r="O23" s="378">
        <v>486</v>
      </c>
      <c r="P23" s="378">
        <v>522</v>
      </c>
      <c r="Q23" s="378">
        <v>358</v>
      </c>
      <c r="R23" s="500">
        <v>405</v>
      </c>
      <c r="S23" s="378">
        <v>611</v>
      </c>
      <c r="T23" s="378">
        <v>592</v>
      </c>
      <c r="U23" s="378">
        <v>465</v>
      </c>
      <c r="V23" s="500">
        <v>598</v>
      </c>
      <c r="W23" s="378"/>
      <c r="X23" s="378"/>
      <c r="Y23" s="378"/>
      <c r="Z23" s="500"/>
      <c r="AA23" s="377">
        <f t="shared" ref="AA23:AD26" si="30">+W23+S23+O23+K23+G23+C23</f>
        <v>4190</v>
      </c>
      <c r="AB23" s="378">
        <f t="shared" si="30"/>
        <v>3795</v>
      </c>
      <c r="AC23" s="378">
        <f t="shared" si="30"/>
        <v>3964</v>
      </c>
      <c r="AD23" s="500">
        <f t="shared" si="30"/>
        <v>3853</v>
      </c>
    </row>
    <row r="24" spans="1:30" s="515" customFormat="1" ht="22.5" customHeight="1">
      <c r="A24" s="499"/>
      <c r="B24" s="350" t="s">
        <v>896</v>
      </c>
      <c r="C24" s="378">
        <v>3598</v>
      </c>
      <c r="D24" s="378">
        <v>4105</v>
      </c>
      <c r="E24" s="378">
        <v>3655</v>
      </c>
      <c r="F24" s="500">
        <v>3806</v>
      </c>
      <c r="G24" s="378">
        <v>3</v>
      </c>
      <c r="H24" s="378">
        <v>6</v>
      </c>
      <c r="I24" s="378">
        <v>2</v>
      </c>
      <c r="J24" s="500">
        <v>2</v>
      </c>
      <c r="K24" s="378">
        <v>1808</v>
      </c>
      <c r="L24" s="378">
        <v>1745</v>
      </c>
      <c r="M24" s="378">
        <v>2581</v>
      </c>
      <c r="N24" s="500">
        <v>722</v>
      </c>
      <c r="O24" s="378">
        <v>223</v>
      </c>
      <c r="P24" s="378">
        <v>310</v>
      </c>
      <c r="Q24" s="378">
        <v>408</v>
      </c>
      <c r="R24" s="500">
        <v>375</v>
      </c>
      <c r="S24" s="378">
        <v>274</v>
      </c>
      <c r="T24" s="378">
        <v>279</v>
      </c>
      <c r="U24" s="378">
        <v>386</v>
      </c>
      <c r="V24" s="500">
        <v>336</v>
      </c>
      <c r="W24" s="378"/>
      <c r="X24" s="378">
        <v>1</v>
      </c>
      <c r="Y24" s="378">
        <v>1</v>
      </c>
      <c r="Z24" s="500"/>
      <c r="AA24" s="377">
        <f t="shared" si="30"/>
        <v>5906</v>
      </c>
      <c r="AB24" s="378">
        <f t="shared" si="30"/>
        <v>6446</v>
      </c>
      <c r="AC24" s="378">
        <f t="shared" si="30"/>
        <v>7033</v>
      </c>
      <c r="AD24" s="500">
        <f t="shared" si="30"/>
        <v>5241</v>
      </c>
    </row>
    <row r="25" spans="1:30" s="515" customFormat="1" ht="22.5" customHeight="1">
      <c r="A25" s="499"/>
      <c r="B25" s="350" t="s">
        <v>586</v>
      </c>
      <c r="C25" s="378">
        <v>319</v>
      </c>
      <c r="D25" s="378">
        <v>396</v>
      </c>
      <c r="E25" s="378">
        <v>465</v>
      </c>
      <c r="F25" s="500">
        <v>424</v>
      </c>
      <c r="G25" s="378">
        <v>5</v>
      </c>
      <c r="H25" s="378">
        <v>5</v>
      </c>
      <c r="I25" s="378">
        <v>1</v>
      </c>
      <c r="J25" s="500">
        <v>3</v>
      </c>
      <c r="K25" s="378">
        <v>165</v>
      </c>
      <c r="L25" s="378">
        <v>166</v>
      </c>
      <c r="M25" s="378">
        <v>144</v>
      </c>
      <c r="N25" s="500">
        <v>22</v>
      </c>
      <c r="O25" s="378"/>
      <c r="P25" s="378">
        <v>35</v>
      </c>
      <c r="Q25" s="378">
        <v>71</v>
      </c>
      <c r="R25" s="500">
        <v>84</v>
      </c>
      <c r="S25" s="378"/>
      <c r="T25" s="378">
        <v>12</v>
      </c>
      <c r="U25" s="378">
        <v>28</v>
      </c>
      <c r="V25" s="500">
        <v>16</v>
      </c>
      <c r="W25" s="378"/>
      <c r="X25" s="378"/>
      <c r="Y25" s="378"/>
      <c r="Z25" s="500"/>
      <c r="AA25" s="377">
        <f t="shared" si="30"/>
        <v>489</v>
      </c>
      <c r="AB25" s="378">
        <f t="shared" si="30"/>
        <v>614</v>
      </c>
      <c r="AC25" s="378">
        <f t="shared" si="30"/>
        <v>709</v>
      </c>
      <c r="AD25" s="500">
        <f t="shared" si="30"/>
        <v>549</v>
      </c>
    </row>
    <row r="26" spans="1:30" s="515" customFormat="1" ht="22.5" customHeight="1">
      <c r="A26" s="499"/>
      <c r="B26" s="350" t="s">
        <v>897</v>
      </c>
      <c r="C26" s="378">
        <v>1014</v>
      </c>
      <c r="D26" s="378">
        <v>785</v>
      </c>
      <c r="E26" s="378">
        <v>998</v>
      </c>
      <c r="F26" s="500">
        <v>1097</v>
      </c>
      <c r="G26" s="378">
        <v>0</v>
      </c>
      <c r="H26" s="378">
        <v>1</v>
      </c>
      <c r="I26" s="378">
        <v>1</v>
      </c>
      <c r="J26" s="500">
        <v>20</v>
      </c>
      <c r="K26" s="378">
        <v>15</v>
      </c>
      <c r="L26" s="378">
        <v>32</v>
      </c>
      <c r="M26" s="378">
        <v>53</v>
      </c>
      <c r="N26" s="500">
        <v>11</v>
      </c>
      <c r="O26" s="378">
        <v>57</v>
      </c>
      <c r="P26" s="378">
        <v>34</v>
      </c>
      <c r="Q26" s="378">
        <v>117</v>
      </c>
      <c r="R26" s="500">
        <v>130</v>
      </c>
      <c r="S26" s="378">
        <v>22</v>
      </c>
      <c r="T26" s="378">
        <v>57</v>
      </c>
      <c r="U26" s="378">
        <v>94</v>
      </c>
      <c r="V26" s="500">
        <v>99</v>
      </c>
      <c r="W26" s="378"/>
      <c r="X26" s="378"/>
      <c r="Y26" s="378">
        <v>1</v>
      </c>
      <c r="Z26" s="500"/>
      <c r="AA26" s="377">
        <f t="shared" si="30"/>
        <v>1108</v>
      </c>
      <c r="AB26" s="378">
        <f t="shared" si="30"/>
        <v>909</v>
      </c>
      <c r="AC26" s="378">
        <f t="shared" si="30"/>
        <v>1264</v>
      </c>
      <c r="AD26" s="500">
        <f t="shared" si="30"/>
        <v>1357</v>
      </c>
    </row>
    <row r="27" spans="1:30" s="515" customFormat="1" ht="22.5" customHeight="1">
      <c r="A27" s="499"/>
      <c r="B27" s="350" t="s">
        <v>690</v>
      </c>
      <c r="C27" s="377">
        <f t="shared" ref="C27:D27" si="31">SUM(C23:C26)</f>
        <v>7906</v>
      </c>
      <c r="D27" s="378">
        <f t="shared" si="31"/>
        <v>7903</v>
      </c>
      <c r="E27" s="378">
        <f>SUM(E23:E26)</f>
        <v>8048</v>
      </c>
      <c r="F27" s="500">
        <f>SUM(F23:F26)</f>
        <v>7881</v>
      </c>
      <c r="G27" s="377">
        <f t="shared" ref="G27" si="32">SUM(G23:G26)</f>
        <v>12</v>
      </c>
      <c r="H27" s="378">
        <f t="shared" ref="H27:J27" si="33">SUM(H23:H26)</f>
        <v>12</v>
      </c>
      <c r="I27" s="378">
        <f t="shared" si="33"/>
        <v>76</v>
      </c>
      <c r="J27" s="500">
        <f t="shared" si="33"/>
        <v>129</v>
      </c>
      <c r="K27" s="377">
        <f t="shared" ref="K27" si="34">SUM(K23:K26)</f>
        <v>2102</v>
      </c>
      <c r="L27" s="378">
        <f t="shared" ref="L27:N27" si="35">SUM(L23:L26)</f>
        <v>2007</v>
      </c>
      <c r="M27" s="378">
        <f t="shared" si="35"/>
        <v>2917</v>
      </c>
      <c r="N27" s="500">
        <f t="shared" si="35"/>
        <v>947</v>
      </c>
      <c r="O27" s="377">
        <f t="shared" ref="O27" si="36">SUM(O23:O26)</f>
        <v>766</v>
      </c>
      <c r="P27" s="378">
        <f t="shared" ref="P27:R27" si="37">SUM(P23:P26)</f>
        <v>901</v>
      </c>
      <c r="Q27" s="378">
        <f t="shared" si="37"/>
        <v>954</v>
      </c>
      <c r="R27" s="500">
        <f t="shared" si="37"/>
        <v>994</v>
      </c>
      <c r="S27" s="377">
        <f t="shared" ref="S27" si="38">SUM(S23:S26)</f>
        <v>907</v>
      </c>
      <c r="T27" s="378">
        <f t="shared" ref="T27:V27" si="39">SUM(T23:T26)</f>
        <v>940</v>
      </c>
      <c r="U27" s="378">
        <f t="shared" si="39"/>
        <v>973</v>
      </c>
      <c r="V27" s="500">
        <f t="shared" si="39"/>
        <v>1049</v>
      </c>
      <c r="W27" s="377">
        <f t="shared" ref="W27" si="40">SUM(W23:W26)</f>
        <v>0</v>
      </c>
      <c r="X27" s="378">
        <f t="shared" ref="X27:Z27" si="41">SUM(X23:X26)</f>
        <v>1</v>
      </c>
      <c r="Y27" s="378">
        <f t="shared" si="41"/>
        <v>2</v>
      </c>
      <c r="Z27" s="500">
        <f t="shared" si="41"/>
        <v>0</v>
      </c>
      <c r="AA27" s="377">
        <f t="shared" ref="AA27" si="42">SUM(AA23:AA26)</f>
        <v>11693</v>
      </c>
      <c r="AB27" s="378">
        <f t="shared" ref="AB27:AD27" si="43">SUM(AB23:AB26)</f>
        <v>11764</v>
      </c>
      <c r="AC27" s="378">
        <f t="shared" si="43"/>
        <v>12970</v>
      </c>
      <c r="AD27" s="500">
        <f t="shared" si="43"/>
        <v>11000</v>
      </c>
    </row>
    <row r="28" spans="1:30" s="515" customFormat="1" ht="22.5" customHeight="1">
      <c r="A28" s="499" t="s">
        <v>581</v>
      </c>
      <c r="B28" s="350" t="s">
        <v>898</v>
      </c>
      <c r="C28" s="378">
        <v>2821</v>
      </c>
      <c r="D28" s="378">
        <v>2754</v>
      </c>
      <c r="E28" s="378">
        <v>2302</v>
      </c>
      <c r="F28" s="500">
        <v>2123</v>
      </c>
      <c r="G28" s="378">
        <v>4</v>
      </c>
      <c r="H28" s="378">
        <v>100</v>
      </c>
      <c r="I28" s="378">
        <v>93</v>
      </c>
      <c r="J28" s="500">
        <v>5</v>
      </c>
      <c r="K28" s="378">
        <v>110</v>
      </c>
      <c r="L28" s="378">
        <v>113</v>
      </c>
      <c r="M28" s="378">
        <v>148</v>
      </c>
      <c r="N28" s="500">
        <v>312</v>
      </c>
      <c r="O28" s="378">
        <v>214</v>
      </c>
      <c r="P28" s="378">
        <v>258</v>
      </c>
      <c r="Q28" s="378">
        <v>232</v>
      </c>
      <c r="R28" s="500">
        <v>191</v>
      </c>
      <c r="S28" s="378">
        <v>206</v>
      </c>
      <c r="T28" s="378">
        <v>175</v>
      </c>
      <c r="U28" s="378">
        <v>310</v>
      </c>
      <c r="V28" s="500">
        <v>308</v>
      </c>
      <c r="W28" s="378">
        <v>0</v>
      </c>
      <c r="X28" s="378">
        <v>2</v>
      </c>
      <c r="Y28" s="378"/>
      <c r="Z28" s="500"/>
      <c r="AA28" s="377">
        <f>+W28+S28+O28+K28+G28+C28</f>
        <v>3355</v>
      </c>
      <c r="AB28" s="378">
        <f>+X28+T28+P28+L28+H28+D28</f>
        <v>3402</v>
      </c>
      <c r="AC28" s="378">
        <f>+Y28+U28+Q28+M28+I28+E28</f>
        <v>3085</v>
      </c>
      <c r="AD28" s="500">
        <f>+Z28+V28+R28+N28+J28+F28</f>
        <v>2939</v>
      </c>
    </row>
    <row r="29" spans="1:30" s="515" customFormat="1" ht="22.5" customHeight="1">
      <c r="A29" s="499"/>
      <c r="B29" s="303" t="s">
        <v>1351</v>
      </c>
      <c r="C29" s="378"/>
      <c r="D29" s="378">
        <v>329</v>
      </c>
      <c r="E29" s="378">
        <v>146</v>
      </c>
      <c r="F29" s="500">
        <v>149</v>
      </c>
      <c r="G29" s="378"/>
      <c r="H29" s="378">
        <v>0</v>
      </c>
      <c r="I29" s="378">
        <v>0</v>
      </c>
      <c r="J29" s="500"/>
      <c r="K29" s="378"/>
      <c r="L29" s="378">
        <v>2</v>
      </c>
      <c r="M29" s="378">
        <v>4</v>
      </c>
      <c r="N29" s="500">
        <v>7</v>
      </c>
      <c r="O29" s="378"/>
      <c r="P29" s="378">
        <v>43</v>
      </c>
      <c r="Q29" s="378">
        <v>55</v>
      </c>
      <c r="R29" s="500">
        <v>79</v>
      </c>
      <c r="S29" s="378"/>
      <c r="T29" s="378"/>
      <c r="U29" s="378"/>
      <c r="V29" s="500"/>
      <c r="W29" s="378"/>
      <c r="X29" s="378"/>
      <c r="Y29" s="378"/>
      <c r="Z29" s="500"/>
      <c r="AA29" s="377"/>
      <c r="AB29" s="378">
        <f>+X29+T29+P29+L29+H29+D29</f>
        <v>374</v>
      </c>
      <c r="AC29" s="378">
        <f>+Y29+U29+Q29+M29+I29+E29</f>
        <v>205</v>
      </c>
      <c r="AD29" s="500">
        <f>+Z29+V29+R29+N29+J29+F29</f>
        <v>235</v>
      </c>
    </row>
    <row r="30" spans="1:30" s="515" customFormat="1" ht="22.5" customHeight="1">
      <c r="A30" s="499"/>
      <c r="B30" s="254" t="s">
        <v>1478</v>
      </c>
      <c r="C30" s="378"/>
      <c r="D30" s="378"/>
      <c r="E30" s="378"/>
      <c r="F30" s="500"/>
      <c r="G30" s="378"/>
      <c r="H30" s="378"/>
      <c r="I30" s="378"/>
      <c r="J30" s="500"/>
      <c r="K30" s="378"/>
      <c r="L30" s="378"/>
      <c r="M30" s="378"/>
      <c r="N30" s="500"/>
      <c r="O30" s="378"/>
      <c r="P30" s="378"/>
      <c r="Q30" s="378"/>
      <c r="R30" s="500"/>
      <c r="S30" s="378"/>
      <c r="T30" s="378"/>
      <c r="U30" s="378"/>
      <c r="V30" s="500">
        <v>43</v>
      </c>
      <c r="W30" s="378"/>
      <c r="X30" s="378"/>
      <c r="Y30" s="378"/>
      <c r="Z30" s="500"/>
      <c r="AA30" s="377"/>
      <c r="AB30" s="378"/>
      <c r="AC30" s="378"/>
      <c r="AD30" s="500">
        <f>+Z30+V30+R30+N30+J30+F30</f>
        <v>43</v>
      </c>
    </row>
    <row r="31" spans="1:30" s="515" customFormat="1" ht="22.5" customHeight="1">
      <c r="A31" s="499"/>
      <c r="B31" s="350" t="s">
        <v>1026</v>
      </c>
      <c r="C31" s="378"/>
      <c r="D31" s="378">
        <v>1</v>
      </c>
      <c r="E31" s="378">
        <v>7</v>
      </c>
      <c r="F31" s="500">
        <v>3</v>
      </c>
      <c r="G31" s="378"/>
      <c r="H31" s="378"/>
      <c r="I31" s="378"/>
      <c r="J31" s="500"/>
      <c r="K31" s="378"/>
      <c r="L31" s="378"/>
      <c r="M31" s="378"/>
      <c r="N31" s="500"/>
      <c r="O31" s="378"/>
      <c r="P31" s="378"/>
      <c r="Q31" s="378"/>
      <c r="R31" s="500"/>
      <c r="S31" s="378"/>
      <c r="T31" s="378"/>
      <c r="U31" s="378"/>
      <c r="V31" s="500"/>
      <c r="W31" s="378"/>
      <c r="X31" s="378"/>
      <c r="Y31" s="378"/>
      <c r="Z31" s="500"/>
      <c r="AA31" s="377">
        <f>+W31+S31+O31+K31+G31+C31</f>
        <v>0</v>
      </c>
      <c r="AB31" s="378">
        <f>+X31+T31+P31+L31+H31+D31</f>
        <v>1</v>
      </c>
      <c r="AC31" s="378">
        <f>+Y31+U31+Q31+M31+I31+E31</f>
        <v>7</v>
      </c>
      <c r="AD31" s="500">
        <f>+Z31+V31+R31+N31+J31+F31</f>
        <v>3</v>
      </c>
    </row>
    <row r="32" spans="1:30" s="515" customFormat="1" ht="22.5" customHeight="1">
      <c r="A32" s="499"/>
      <c r="B32" s="350" t="s">
        <v>690</v>
      </c>
      <c r="C32" s="377">
        <f t="shared" ref="C32:D32" si="44">SUM(C28:C31)</f>
        <v>2821</v>
      </c>
      <c r="D32" s="378">
        <f t="shared" si="44"/>
        <v>3084</v>
      </c>
      <c r="E32" s="378">
        <f>SUM(E28:E31)</f>
        <v>2455</v>
      </c>
      <c r="F32" s="500">
        <f>SUM(F28:F31)</f>
        <v>2275</v>
      </c>
      <c r="G32" s="377">
        <f t="shared" ref="G32" si="45">SUM(G28:G31)</f>
        <v>4</v>
      </c>
      <c r="H32" s="378">
        <f t="shared" ref="H32:J32" si="46">SUM(H28:H31)</f>
        <v>100</v>
      </c>
      <c r="I32" s="378">
        <f t="shared" si="46"/>
        <v>93</v>
      </c>
      <c r="J32" s="500">
        <f t="shared" si="46"/>
        <v>5</v>
      </c>
      <c r="K32" s="377">
        <f t="shared" ref="K32" si="47">SUM(K28:K31)</f>
        <v>110</v>
      </c>
      <c r="L32" s="378">
        <f t="shared" ref="L32:N32" si="48">SUM(L28:L31)</f>
        <v>115</v>
      </c>
      <c r="M32" s="378">
        <f t="shared" si="48"/>
        <v>152</v>
      </c>
      <c r="N32" s="500">
        <f t="shared" si="48"/>
        <v>319</v>
      </c>
      <c r="O32" s="377">
        <f t="shared" ref="O32" si="49">SUM(O28:O31)</f>
        <v>214</v>
      </c>
      <c r="P32" s="378">
        <f t="shared" ref="P32:R32" si="50">SUM(P28:P31)</f>
        <v>301</v>
      </c>
      <c r="Q32" s="378">
        <f t="shared" si="50"/>
        <v>287</v>
      </c>
      <c r="R32" s="500">
        <f t="shared" si="50"/>
        <v>270</v>
      </c>
      <c r="S32" s="377">
        <f t="shared" ref="S32" si="51">SUM(S28:S31)</f>
        <v>206</v>
      </c>
      <c r="T32" s="378">
        <f t="shared" ref="T32:V32" si="52">SUM(T28:T31)</f>
        <v>175</v>
      </c>
      <c r="U32" s="378">
        <f t="shared" si="52"/>
        <v>310</v>
      </c>
      <c r="V32" s="500">
        <f t="shared" si="52"/>
        <v>351</v>
      </c>
      <c r="W32" s="377">
        <f t="shared" ref="W32" si="53">SUM(W28:W31)</f>
        <v>0</v>
      </c>
      <c r="X32" s="378">
        <f t="shared" ref="X32:Z32" si="54">SUM(X28:X31)</f>
        <v>2</v>
      </c>
      <c r="Y32" s="378">
        <f t="shared" si="54"/>
        <v>0</v>
      </c>
      <c r="Z32" s="500">
        <f t="shared" si="54"/>
        <v>0</v>
      </c>
      <c r="AA32" s="377">
        <f t="shared" ref="AA32" si="55">SUM(AA28:AA31)</f>
        <v>3355</v>
      </c>
      <c r="AB32" s="378">
        <f t="shared" ref="AB32:AD32" si="56">SUM(AB28:AB31)</f>
        <v>3777</v>
      </c>
      <c r="AC32" s="378">
        <f t="shared" si="56"/>
        <v>3297</v>
      </c>
      <c r="AD32" s="500">
        <f t="shared" si="56"/>
        <v>3220</v>
      </c>
    </row>
    <row r="33" spans="1:30" s="515" customFormat="1" ht="22.5" customHeight="1">
      <c r="A33" s="499" t="s">
        <v>582</v>
      </c>
      <c r="B33" s="350" t="s">
        <v>698</v>
      </c>
      <c r="C33" s="378">
        <v>2053</v>
      </c>
      <c r="D33" s="378">
        <v>1994</v>
      </c>
      <c r="E33" s="378">
        <v>1635</v>
      </c>
      <c r="F33" s="500">
        <v>1837</v>
      </c>
      <c r="G33" s="378">
        <v>2</v>
      </c>
      <c r="H33" s="378">
        <v>1</v>
      </c>
      <c r="I33" s="378">
        <v>1</v>
      </c>
      <c r="J33" s="500">
        <v>1</v>
      </c>
      <c r="K33" s="378">
        <v>50</v>
      </c>
      <c r="L33" s="378">
        <v>205</v>
      </c>
      <c r="M33" s="378">
        <v>264</v>
      </c>
      <c r="N33" s="500">
        <v>247</v>
      </c>
      <c r="O33" s="378">
        <v>104</v>
      </c>
      <c r="P33" s="378">
        <v>88</v>
      </c>
      <c r="Q33" s="378">
        <v>142</v>
      </c>
      <c r="R33" s="500">
        <v>106</v>
      </c>
      <c r="S33" s="378">
        <v>88</v>
      </c>
      <c r="T33" s="378">
        <v>205</v>
      </c>
      <c r="U33" s="378">
        <v>199</v>
      </c>
      <c r="V33" s="500">
        <v>160</v>
      </c>
      <c r="W33" s="378">
        <v>0</v>
      </c>
      <c r="X33" s="378"/>
      <c r="Y33" s="378"/>
      <c r="Z33" s="500"/>
      <c r="AA33" s="377">
        <f t="shared" ref="AA33:AB40" si="57">+W33+S33+O33+K33+G33+C33</f>
        <v>2297</v>
      </c>
      <c r="AB33" s="378">
        <f t="shared" si="57"/>
        <v>2493</v>
      </c>
      <c r="AC33" s="378">
        <f t="shared" ref="AB33:AD41" si="58">+Y33+U33+Q33+M33+I33+E33</f>
        <v>2241</v>
      </c>
      <c r="AD33" s="500">
        <f t="shared" si="58"/>
        <v>2351</v>
      </c>
    </row>
    <row r="34" spans="1:30" s="515" customFormat="1" ht="22.5" customHeight="1">
      <c r="A34" s="499"/>
      <c r="B34" s="350" t="s">
        <v>900</v>
      </c>
      <c r="C34" s="378">
        <v>338</v>
      </c>
      <c r="D34" s="378">
        <v>329</v>
      </c>
      <c r="E34" s="378">
        <v>312</v>
      </c>
      <c r="F34" s="500">
        <v>269</v>
      </c>
      <c r="G34" s="378">
        <v>0</v>
      </c>
      <c r="H34" s="378">
        <v>0</v>
      </c>
      <c r="I34" s="378">
        <v>0</v>
      </c>
      <c r="J34" s="500">
        <v>2</v>
      </c>
      <c r="K34" s="378">
        <v>16</v>
      </c>
      <c r="L34" s="378">
        <v>28</v>
      </c>
      <c r="M34" s="378">
        <v>55</v>
      </c>
      <c r="N34" s="500">
        <v>52</v>
      </c>
      <c r="O34" s="378">
        <v>27</v>
      </c>
      <c r="P34" s="378">
        <v>27</v>
      </c>
      <c r="Q34" s="378">
        <v>64</v>
      </c>
      <c r="R34" s="500">
        <v>22</v>
      </c>
      <c r="S34" s="378">
        <v>30</v>
      </c>
      <c r="T34" s="378">
        <v>16</v>
      </c>
      <c r="U34" s="378">
        <v>45</v>
      </c>
      <c r="V34" s="500">
        <v>48</v>
      </c>
      <c r="W34" s="378">
        <v>0</v>
      </c>
      <c r="X34" s="378"/>
      <c r="Y34" s="378"/>
      <c r="Z34" s="500"/>
      <c r="AA34" s="377">
        <f>+W34+S34+O34+K34+G34+C34</f>
        <v>411</v>
      </c>
      <c r="AB34" s="378">
        <f>+X34+T34+P34+L34+H34+D34</f>
        <v>400</v>
      </c>
      <c r="AC34" s="378">
        <f>+Y34+U34+Q34+M34+I34+E34</f>
        <v>476</v>
      </c>
      <c r="AD34" s="500">
        <f t="shared" si="58"/>
        <v>393</v>
      </c>
    </row>
    <row r="35" spans="1:30" s="515" customFormat="1" ht="22.5" customHeight="1">
      <c r="A35" s="499"/>
      <c r="B35" s="303" t="s">
        <v>1352</v>
      </c>
      <c r="C35" s="378"/>
      <c r="D35" s="378">
        <v>66</v>
      </c>
      <c r="E35" s="378">
        <v>95</v>
      </c>
      <c r="F35" s="500">
        <v>69</v>
      </c>
      <c r="G35" s="378"/>
      <c r="H35" s="378">
        <v>0</v>
      </c>
      <c r="I35" s="378">
        <v>0</v>
      </c>
      <c r="J35" s="500"/>
      <c r="K35" s="378"/>
      <c r="L35" s="378">
        <v>12</v>
      </c>
      <c r="M35" s="378">
        <v>43</v>
      </c>
      <c r="N35" s="500">
        <v>18</v>
      </c>
      <c r="O35" s="378"/>
      <c r="P35" s="378">
        <v>3</v>
      </c>
      <c r="Q35" s="378">
        <v>16</v>
      </c>
      <c r="R35" s="500">
        <v>14</v>
      </c>
      <c r="S35" s="378"/>
      <c r="T35" s="378">
        <v>4</v>
      </c>
      <c r="U35" s="378">
        <v>41</v>
      </c>
      <c r="V35" s="500">
        <v>13</v>
      </c>
      <c r="W35" s="378"/>
      <c r="X35" s="378"/>
      <c r="Y35" s="378"/>
      <c r="Z35" s="500"/>
      <c r="AA35" s="377"/>
      <c r="AB35" s="378">
        <f>+X35+T35+P35+L35+H35+D35</f>
        <v>85</v>
      </c>
      <c r="AC35" s="378">
        <f>+Y35+U35+Q35+M35+I35+E35</f>
        <v>195</v>
      </c>
      <c r="AD35" s="500">
        <f t="shared" si="58"/>
        <v>114</v>
      </c>
    </row>
    <row r="36" spans="1:30" s="515" customFormat="1" ht="22.5" customHeight="1">
      <c r="A36" s="499"/>
      <c r="B36" s="350" t="s">
        <v>690</v>
      </c>
      <c r="C36" s="377">
        <f>SUM(C33:C35)</f>
        <v>2391</v>
      </c>
      <c r="D36" s="378">
        <f t="shared" ref="D36:AD36" si="59">SUM(D33:D35)</f>
        <v>2389</v>
      </c>
      <c r="E36" s="378">
        <f t="shared" si="59"/>
        <v>2042</v>
      </c>
      <c r="F36" s="378">
        <f t="shared" si="59"/>
        <v>2175</v>
      </c>
      <c r="G36" s="377">
        <f t="shared" si="59"/>
        <v>2</v>
      </c>
      <c r="H36" s="378">
        <f t="shared" si="59"/>
        <v>1</v>
      </c>
      <c r="I36" s="378">
        <f t="shared" si="59"/>
        <v>1</v>
      </c>
      <c r="J36" s="378">
        <f t="shared" si="59"/>
        <v>3</v>
      </c>
      <c r="K36" s="377">
        <f t="shared" si="59"/>
        <v>66</v>
      </c>
      <c r="L36" s="378">
        <f t="shared" si="59"/>
        <v>245</v>
      </c>
      <c r="M36" s="378">
        <f t="shared" si="59"/>
        <v>362</v>
      </c>
      <c r="N36" s="378">
        <f t="shared" si="59"/>
        <v>317</v>
      </c>
      <c r="O36" s="377">
        <f t="shared" si="59"/>
        <v>131</v>
      </c>
      <c r="P36" s="378">
        <f t="shared" si="59"/>
        <v>118</v>
      </c>
      <c r="Q36" s="378">
        <f t="shared" si="59"/>
        <v>222</v>
      </c>
      <c r="R36" s="378">
        <f t="shared" si="59"/>
        <v>142</v>
      </c>
      <c r="S36" s="377">
        <f t="shared" si="59"/>
        <v>118</v>
      </c>
      <c r="T36" s="378">
        <f t="shared" si="59"/>
        <v>225</v>
      </c>
      <c r="U36" s="378">
        <f t="shared" si="59"/>
        <v>285</v>
      </c>
      <c r="V36" s="378">
        <f t="shared" si="59"/>
        <v>221</v>
      </c>
      <c r="W36" s="377">
        <f t="shared" si="59"/>
        <v>0</v>
      </c>
      <c r="X36" s="378">
        <f t="shared" si="59"/>
        <v>0</v>
      </c>
      <c r="Y36" s="378">
        <f t="shared" si="59"/>
        <v>0</v>
      </c>
      <c r="Z36" s="378">
        <f t="shared" si="59"/>
        <v>0</v>
      </c>
      <c r="AA36" s="377">
        <f t="shared" si="59"/>
        <v>2708</v>
      </c>
      <c r="AB36" s="378">
        <f t="shared" si="59"/>
        <v>2978</v>
      </c>
      <c r="AC36" s="378">
        <f t="shared" si="59"/>
        <v>2912</v>
      </c>
      <c r="AD36" s="500">
        <f t="shared" si="59"/>
        <v>2858</v>
      </c>
    </row>
    <row r="37" spans="1:30" s="515" customFormat="1" ht="22.5" customHeight="1">
      <c r="A37" s="499" t="s">
        <v>583</v>
      </c>
      <c r="B37" s="350" t="s">
        <v>901</v>
      </c>
      <c r="C37" s="378">
        <v>1635</v>
      </c>
      <c r="D37" s="378">
        <v>1555</v>
      </c>
      <c r="E37" s="378">
        <v>1438</v>
      </c>
      <c r="F37" s="500">
        <v>1640</v>
      </c>
      <c r="G37" s="378">
        <v>1</v>
      </c>
      <c r="H37" s="378">
        <v>3</v>
      </c>
      <c r="I37" s="378">
        <v>115</v>
      </c>
      <c r="J37" s="500">
        <v>84</v>
      </c>
      <c r="K37" s="378">
        <v>73</v>
      </c>
      <c r="L37" s="378">
        <v>62</v>
      </c>
      <c r="M37" s="378">
        <v>57</v>
      </c>
      <c r="N37" s="500">
        <v>82</v>
      </c>
      <c r="O37" s="378">
        <v>149</v>
      </c>
      <c r="P37" s="378">
        <v>186</v>
      </c>
      <c r="Q37" s="378">
        <v>204</v>
      </c>
      <c r="R37" s="500">
        <v>197</v>
      </c>
      <c r="S37" s="378">
        <v>248</v>
      </c>
      <c r="T37" s="378">
        <v>239</v>
      </c>
      <c r="U37" s="378">
        <v>114</v>
      </c>
      <c r="V37" s="500">
        <v>22</v>
      </c>
      <c r="W37" s="378"/>
      <c r="X37" s="378"/>
      <c r="Y37" s="378"/>
      <c r="Z37" s="500"/>
      <c r="AA37" s="377">
        <f t="shared" si="57"/>
        <v>2106</v>
      </c>
      <c r="AB37" s="378">
        <f t="shared" si="57"/>
        <v>2045</v>
      </c>
      <c r="AC37" s="378">
        <f t="shared" si="58"/>
        <v>1928</v>
      </c>
      <c r="AD37" s="500">
        <f t="shared" si="58"/>
        <v>2025</v>
      </c>
    </row>
    <row r="38" spans="1:30" s="515" customFormat="1" ht="22.5" customHeight="1">
      <c r="A38" s="499" t="s">
        <v>1027</v>
      </c>
      <c r="B38" s="350" t="s">
        <v>902</v>
      </c>
      <c r="C38" s="378">
        <v>2734</v>
      </c>
      <c r="D38" s="378">
        <v>3122</v>
      </c>
      <c r="E38" s="378">
        <v>2620</v>
      </c>
      <c r="F38" s="500">
        <v>2699</v>
      </c>
      <c r="G38" s="378">
        <v>8</v>
      </c>
      <c r="H38" s="378">
        <v>115</v>
      </c>
      <c r="I38" s="378">
        <v>9</v>
      </c>
      <c r="J38" s="500">
        <v>2</v>
      </c>
      <c r="K38" s="378">
        <v>47</v>
      </c>
      <c r="L38" s="378">
        <v>64</v>
      </c>
      <c r="M38" s="378">
        <v>126</v>
      </c>
      <c r="N38" s="500">
        <v>26</v>
      </c>
      <c r="O38" s="378">
        <v>211</v>
      </c>
      <c r="P38" s="378">
        <v>238</v>
      </c>
      <c r="Q38" s="378">
        <v>281</v>
      </c>
      <c r="R38" s="500">
        <v>243</v>
      </c>
      <c r="S38" s="378">
        <v>219</v>
      </c>
      <c r="T38" s="378">
        <v>170</v>
      </c>
      <c r="U38" s="378">
        <v>133</v>
      </c>
      <c r="V38" s="500">
        <v>121</v>
      </c>
      <c r="W38" s="378"/>
      <c r="X38" s="378"/>
      <c r="Y38" s="378"/>
      <c r="Z38" s="500"/>
      <c r="AA38" s="377">
        <f t="shared" si="57"/>
        <v>3219</v>
      </c>
      <c r="AB38" s="378">
        <f t="shared" si="57"/>
        <v>3709</v>
      </c>
      <c r="AC38" s="378">
        <f t="shared" si="58"/>
        <v>3169</v>
      </c>
      <c r="AD38" s="500">
        <f t="shared" si="58"/>
        <v>3091</v>
      </c>
    </row>
    <row r="39" spans="1:30" s="515" customFormat="1" ht="22.5" customHeight="1">
      <c r="A39" s="499"/>
      <c r="B39" s="254" t="s">
        <v>1062</v>
      </c>
      <c r="C39" s="378"/>
      <c r="D39" s="378"/>
      <c r="E39" s="378"/>
      <c r="F39" s="500">
        <v>1</v>
      </c>
      <c r="G39" s="378"/>
      <c r="H39" s="378"/>
      <c r="I39" s="378"/>
      <c r="J39" s="500"/>
      <c r="K39" s="378"/>
      <c r="L39" s="378"/>
      <c r="M39" s="378"/>
      <c r="N39" s="500"/>
      <c r="O39" s="378"/>
      <c r="P39" s="378"/>
      <c r="Q39" s="378"/>
      <c r="R39" s="500"/>
      <c r="S39" s="378"/>
      <c r="T39" s="378"/>
      <c r="U39" s="378"/>
      <c r="V39" s="500">
        <v>5</v>
      </c>
      <c r="W39" s="378"/>
      <c r="X39" s="378"/>
      <c r="Y39" s="378"/>
      <c r="Z39" s="500"/>
      <c r="AA39" s="377"/>
      <c r="AB39" s="378"/>
      <c r="AC39" s="378"/>
      <c r="AD39" s="500">
        <f t="shared" si="58"/>
        <v>6</v>
      </c>
    </row>
    <row r="40" spans="1:30" s="515" customFormat="1" ht="22.5" customHeight="1">
      <c r="A40" s="499" t="s">
        <v>585</v>
      </c>
      <c r="B40" s="350" t="s">
        <v>903</v>
      </c>
      <c r="C40" s="378">
        <v>2617</v>
      </c>
      <c r="D40" s="378">
        <v>2491</v>
      </c>
      <c r="E40" s="378">
        <v>1822</v>
      </c>
      <c r="F40" s="500">
        <v>1824</v>
      </c>
      <c r="G40" s="378">
        <v>5</v>
      </c>
      <c r="H40" s="378">
        <v>0</v>
      </c>
      <c r="I40" s="378">
        <v>142</v>
      </c>
      <c r="J40" s="500"/>
      <c r="K40" s="378">
        <v>91</v>
      </c>
      <c r="L40" s="378">
        <v>49</v>
      </c>
      <c r="M40" s="378">
        <v>73</v>
      </c>
      <c r="N40" s="500">
        <v>104</v>
      </c>
      <c r="O40" s="378">
        <v>144</v>
      </c>
      <c r="P40" s="378">
        <v>88</v>
      </c>
      <c r="Q40" s="378">
        <v>77</v>
      </c>
      <c r="R40" s="500">
        <v>149</v>
      </c>
      <c r="S40" s="378">
        <v>30</v>
      </c>
      <c r="T40" s="378">
        <v>40</v>
      </c>
      <c r="U40" s="378">
        <v>67</v>
      </c>
      <c r="V40" s="500">
        <v>74</v>
      </c>
      <c r="W40" s="378"/>
      <c r="X40" s="378"/>
      <c r="Y40" s="378"/>
      <c r="Z40" s="500"/>
      <c r="AA40" s="377">
        <f t="shared" si="57"/>
        <v>2887</v>
      </c>
      <c r="AB40" s="378">
        <f t="shared" si="57"/>
        <v>2668</v>
      </c>
      <c r="AC40" s="378">
        <f t="shared" si="58"/>
        <v>2181</v>
      </c>
      <c r="AD40" s="500">
        <f t="shared" si="58"/>
        <v>2151</v>
      </c>
    </row>
    <row r="41" spans="1:30" s="515" customFormat="1" ht="22.5" customHeight="1">
      <c r="A41" s="499"/>
      <c r="B41" s="303" t="s">
        <v>1343</v>
      </c>
      <c r="C41" s="378"/>
      <c r="D41" s="378">
        <v>365</v>
      </c>
      <c r="E41" s="378">
        <v>507</v>
      </c>
      <c r="F41" s="500">
        <v>185</v>
      </c>
      <c r="G41" s="378"/>
      <c r="H41" s="378">
        <v>0</v>
      </c>
      <c r="I41" s="378">
        <v>0</v>
      </c>
      <c r="J41" s="500"/>
      <c r="K41" s="378"/>
      <c r="L41" s="378">
        <v>7</v>
      </c>
      <c r="M41" s="378"/>
      <c r="N41" s="500"/>
      <c r="O41" s="378"/>
      <c r="P41" s="378">
        <v>8</v>
      </c>
      <c r="Q41" s="378">
        <v>10</v>
      </c>
      <c r="R41" s="500">
        <v>8</v>
      </c>
      <c r="S41" s="378"/>
      <c r="T41" s="378"/>
      <c r="U41" s="378"/>
      <c r="V41" s="500"/>
      <c r="W41" s="378"/>
      <c r="X41" s="378"/>
      <c r="Y41" s="378">
        <v>7</v>
      </c>
      <c r="Z41" s="500"/>
      <c r="AA41" s="377"/>
      <c r="AB41" s="378">
        <f t="shared" si="58"/>
        <v>380</v>
      </c>
      <c r="AC41" s="378">
        <f t="shared" si="58"/>
        <v>524</v>
      </c>
      <c r="AD41" s="500">
        <f t="shared" si="58"/>
        <v>193</v>
      </c>
    </row>
    <row r="42" spans="1:30" s="515" customFormat="1" ht="22.5" customHeight="1">
      <c r="A42" s="499"/>
      <c r="B42" s="350" t="s">
        <v>690</v>
      </c>
      <c r="C42" s="377">
        <f t="shared" ref="C42:D42" si="60">SUM(C40:C41)</f>
        <v>2617</v>
      </c>
      <c r="D42" s="378">
        <f t="shared" si="60"/>
        <v>2856</v>
      </c>
      <c r="E42" s="378">
        <f>SUM(E40:E41)</f>
        <v>2329</v>
      </c>
      <c r="F42" s="500">
        <f>SUM(F40:F41)</f>
        <v>2009</v>
      </c>
      <c r="G42" s="377">
        <f t="shared" ref="G42" si="61">SUM(G40:G41)</f>
        <v>5</v>
      </c>
      <c r="H42" s="378">
        <f t="shared" ref="H42:J42" si="62">SUM(H40:H41)</f>
        <v>0</v>
      </c>
      <c r="I42" s="378">
        <f t="shared" si="62"/>
        <v>142</v>
      </c>
      <c r="J42" s="500">
        <f t="shared" si="62"/>
        <v>0</v>
      </c>
      <c r="K42" s="377">
        <f t="shared" ref="K42" si="63">SUM(K40:K41)</f>
        <v>91</v>
      </c>
      <c r="L42" s="378">
        <f t="shared" ref="L42:N42" si="64">SUM(L40:L41)</f>
        <v>56</v>
      </c>
      <c r="M42" s="378">
        <f t="shared" si="64"/>
        <v>73</v>
      </c>
      <c r="N42" s="500">
        <f t="shared" si="64"/>
        <v>104</v>
      </c>
      <c r="O42" s="377">
        <f t="shared" ref="O42" si="65">SUM(O40:O41)</f>
        <v>144</v>
      </c>
      <c r="P42" s="378">
        <f t="shared" ref="P42:R42" si="66">SUM(P40:P41)</f>
        <v>96</v>
      </c>
      <c r="Q42" s="378">
        <f t="shared" si="66"/>
        <v>87</v>
      </c>
      <c r="R42" s="500">
        <f t="shared" si="66"/>
        <v>157</v>
      </c>
      <c r="S42" s="377">
        <f t="shared" ref="S42" si="67">SUM(S40:S41)</f>
        <v>30</v>
      </c>
      <c r="T42" s="378">
        <f t="shared" ref="T42:V42" si="68">SUM(T40:T41)</f>
        <v>40</v>
      </c>
      <c r="U42" s="378">
        <f t="shared" si="68"/>
        <v>67</v>
      </c>
      <c r="V42" s="500">
        <f t="shared" si="68"/>
        <v>74</v>
      </c>
      <c r="W42" s="377">
        <f t="shared" ref="W42" si="69">SUM(W40:W41)</f>
        <v>0</v>
      </c>
      <c r="X42" s="378">
        <f t="shared" ref="X42:Z42" si="70">SUM(X40:X41)</f>
        <v>0</v>
      </c>
      <c r="Y42" s="378">
        <f t="shared" si="70"/>
        <v>7</v>
      </c>
      <c r="Z42" s="500">
        <f t="shared" si="70"/>
        <v>0</v>
      </c>
      <c r="AA42" s="377">
        <f t="shared" ref="AA42" si="71">SUM(AA40:AA41)</f>
        <v>2887</v>
      </c>
      <c r="AB42" s="378">
        <f t="shared" ref="AB42:AD42" si="72">SUM(AB40:AB41)</f>
        <v>3048</v>
      </c>
      <c r="AC42" s="378">
        <f t="shared" si="72"/>
        <v>2705</v>
      </c>
      <c r="AD42" s="500">
        <f t="shared" si="72"/>
        <v>2344</v>
      </c>
    </row>
    <row r="43" spans="1:30" s="6" customFormat="1" ht="22.5" customHeight="1">
      <c r="A43" s="509" t="s">
        <v>1028</v>
      </c>
      <c r="B43" s="505"/>
      <c r="C43" s="507">
        <f t="shared" ref="C43" si="73">+C27+C32+C36+C37+C38+C42+C39</f>
        <v>20104</v>
      </c>
      <c r="D43" s="507">
        <f>+D27+D32+D36+D37+D38+D42+D39</f>
        <v>20909</v>
      </c>
      <c r="E43" s="507">
        <f>+E27+E32+E36+E37+E38+E42+E39</f>
        <v>18932</v>
      </c>
      <c r="F43" s="508">
        <f>+F27+F32+F36+F37+F38+F42+F39</f>
        <v>18680</v>
      </c>
      <c r="G43" s="507">
        <f t="shared" ref="G43" si="74">+G27+G32+G36+G37+G38+G42+G39</f>
        <v>32</v>
      </c>
      <c r="H43" s="507">
        <f t="shared" ref="H43:J43" si="75">+H27+H32+H36+H37+H38+H42+H39</f>
        <v>231</v>
      </c>
      <c r="I43" s="507">
        <f t="shared" si="75"/>
        <v>436</v>
      </c>
      <c r="J43" s="508">
        <f t="shared" si="75"/>
        <v>223</v>
      </c>
      <c r="K43" s="507">
        <f t="shared" ref="K43" si="76">+K27+K32+K36+K37+K38+K42+K39</f>
        <v>2489</v>
      </c>
      <c r="L43" s="507">
        <f>+L27+L32+L36+L37+L38+L42+L39</f>
        <v>2549</v>
      </c>
      <c r="M43" s="507">
        <f t="shared" ref="M43:N43" si="77">+M27+M32+M36+M37+M38+M42+M39</f>
        <v>3687</v>
      </c>
      <c r="N43" s="508">
        <f t="shared" si="77"/>
        <v>1795</v>
      </c>
      <c r="O43" s="507">
        <f t="shared" ref="O43" si="78">+O27+O32+O36+O37+O38+O42+O39</f>
        <v>1615</v>
      </c>
      <c r="P43" s="507">
        <f t="shared" ref="P43:R43" si="79">+P27+P32+P36+P37+P38+P42+P39</f>
        <v>1840</v>
      </c>
      <c r="Q43" s="507">
        <f t="shared" si="79"/>
        <v>2035</v>
      </c>
      <c r="R43" s="508">
        <f t="shared" si="79"/>
        <v>2003</v>
      </c>
      <c r="S43" s="507">
        <f t="shared" ref="S43" si="80">+S27+S32+S36+S37+S38+S42+S39</f>
        <v>1728</v>
      </c>
      <c r="T43" s="507">
        <f t="shared" ref="T43:V43" si="81">+T27+T32+T36+T37+T38+T42+T39</f>
        <v>1789</v>
      </c>
      <c r="U43" s="507">
        <f t="shared" si="81"/>
        <v>1882</v>
      </c>
      <c r="V43" s="508">
        <f t="shared" si="81"/>
        <v>1843</v>
      </c>
      <c r="W43" s="507">
        <f t="shared" ref="W43" si="82">+W27+W32+W36+W37+W38+W42+W39</f>
        <v>0</v>
      </c>
      <c r="X43" s="507">
        <f t="shared" ref="X43:Z43" si="83">+X27+X32+X36+X37+X38+X42+X39</f>
        <v>3</v>
      </c>
      <c r="Y43" s="507">
        <f t="shared" si="83"/>
        <v>9</v>
      </c>
      <c r="Z43" s="508">
        <f t="shared" si="83"/>
        <v>0</v>
      </c>
      <c r="AA43" s="507">
        <f t="shared" ref="AA43" si="84">+AA27+AA32+AA36+AA37+AA38+AA42+AA39</f>
        <v>25968</v>
      </c>
      <c r="AB43" s="507">
        <f t="shared" ref="AB43:AD43" si="85">+AB27+AB32+AB36+AB37+AB38+AB42+AB39</f>
        <v>27321</v>
      </c>
      <c r="AC43" s="507">
        <f t="shared" si="85"/>
        <v>26981</v>
      </c>
      <c r="AD43" s="508">
        <f t="shared" si="85"/>
        <v>24544</v>
      </c>
    </row>
    <row r="44" spans="1:30" s="515" customFormat="1" ht="22.5" customHeight="1">
      <c r="A44" s="1237" t="s">
        <v>706</v>
      </c>
      <c r="B44" s="1238"/>
      <c r="C44" s="511">
        <f>+C22+C43</f>
        <v>33213</v>
      </c>
      <c r="D44" s="511">
        <f t="shared" ref="D44:AD44" si="86">+D22+D43</f>
        <v>34133</v>
      </c>
      <c r="E44" s="511">
        <f t="shared" si="86"/>
        <v>29361</v>
      </c>
      <c r="F44" s="512">
        <f t="shared" si="86"/>
        <v>28717</v>
      </c>
      <c r="G44" s="510">
        <f t="shared" si="86"/>
        <v>39</v>
      </c>
      <c r="H44" s="511">
        <f t="shared" si="86"/>
        <v>287</v>
      </c>
      <c r="I44" s="511">
        <f t="shared" si="86"/>
        <v>795</v>
      </c>
      <c r="J44" s="512">
        <f t="shared" si="86"/>
        <v>737</v>
      </c>
      <c r="K44" s="511">
        <f t="shared" si="86"/>
        <v>2843</v>
      </c>
      <c r="L44" s="511">
        <f t="shared" si="86"/>
        <v>2897</v>
      </c>
      <c r="M44" s="511">
        <f t="shared" si="86"/>
        <v>4219</v>
      </c>
      <c r="N44" s="512">
        <f t="shared" si="86"/>
        <v>2456</v>
      </c>
      <c r="O44" s="510">
        <f t="shared" si="86"/>
        <v>2806</v>
      </c>
      <c r="P44" s="511">
        <f t="shared" si="86"/>
        <v>3245</v>
      </c>
      <c r="Q44" s="511">
        <f t="shared" si="86"/>
        <v>3231</v>
      </c>
      <c r="R44" s="512">
        <f t="shared" si="86"/>
        <v>3167</v>
      </c>
      <c r="S44" s="511">
        <f t="shared" si="86"/>
        <v>2421</v>
      </c>
      <c r="T44" s="511">
        <f t="shared" si="86"/>
        <v>2524</v>
      </c>
      <c r="U44" s="511">
        <f t="shared" si="86"/>
        <v>2477</v>
      </c>
      <c r="V44" s="512">
        <f t="shared" si="86"/>
        <v>2523</v>
      </c>
      <c r="W44" s="511">
        <f t="shared" si="86"/>
        <v>22</v>
      </c>
      <c r="X44" s="511">
        <f t="shared" si="86"/>
        <v>14</v>
      </c>
      <c r="Y44" s="511">
        <f t="shared" si="86"/>
        <v>10</v>
      </c>
      <c r="Z44" s="512">
        <f t="shared" si="86"/>
        <v>0</v>
      </c>
      <c r="AA44" s="510">
        <f t="shared" si="86"/>
        <v>41344</v>
      </c>
      <c r="AB44" s="511">
        <f t="shared" si="86"/>
        <v>43100</v>
      </c>
      <c r="AC44" s="511">
        <f t="shared" si="86"/>
        <v>40093</v>
      </c>
      <c r="AD44" s="512">
        <f t="shared" si="86"/>
        <v>37600</v>
      </c>
    </row>
    <row r="46" spans="1:30">
      <c r="F46" s="520"/>
      <c r="G46" s="520"/>
      <c r="H46" s="520"/>
      <c r="I46" s="520"/>
      <c r="J46" s="520"/>
      <c r="K46" s="520"/>
      <c r="L46" s="520"/>
      <c r="M46" s="520"/>
      <c r="N46" s="520"/>
      <c r="O46" s="520"/>
      <c r="P46" s="520"/>
      <c r="Q46" s="520"/>
      <c r="R46" s="520"/>
      <c r="S46" s="520"/>
      <c r="T46" s="520"/>
      <c r="U46" s="520"/>
      <c r="V46" s="520"/>
      <c r="W46" s="520"/>
      <c r="X46" s="520"/>
      <c r="Y46" s="520"/>
      <c r="Z46" s="520"/>
      <c r="AA46" s="520"/>
      <c r="AB46" s="520"/>
      <c r="AC46" s="520"/>
      <c r="AD46" s="520"/>
    </row>
    <row r="47" spans="1:30">
      <c r="F47" s="520"/>
      <c r="G47" s="520"/>
      <c r="H47" s="520"/>
      <c r="I47" s="520"/>
      <c r="J47" s="520"/>
      <c r="K47" s="520"/>
      <c r="L47" s="520"/>
      <c r="M47" s="520"/>
      <c r="N47" s="520"/>
      <c r="O47" s="520"/>
      <c r="P47" s="520"/>
      <c r="Q47" s="520"/>
      <c r="R47" s="520"/>
      <c r="S47" s="520"/>
      <c r="T47" s="520"/>
      <c r="U47" s="520"/>
      <c r="V47" s="520"/>
      <c r="W47" s="520"/>
      <c r="X47" s="520"/>
      <c r="Y47" s="520"/>
      <c r="Z47" s="520"/>
      <c r="AA47" s="520"/>
      <c r="AB47" s="520"/>
      <c r="AC47" s="520"/>
      <c r="AD47" s="520"/>
    </row>
    <row r="48" spans="1:30">
      <c r="F48" s="520"/>
      <c r="G48" s="520"/>
      <c r="H48" s="520"/>
      <c r="I48" s="520"/>
      <c r="J48" s="520"/>
      <c r="K48" s="520"/>
      <c r="L48" s="520"/>
      <c r="M48" s="520"/>
      <c r="N48" s="520"/>
      <c r="O48" s="520"/>
      <c r="P48" s="520"/>
      <c r="Q48" s="520"/>
      <c r="R48" s="520"/>
      <c r="S48" s="520"/>
      <c r="T48" s="520"/>
      <c r="U48" s="520"/>
      <c r="V48" s="520"/>
      <c r="W48" s="520"/>
      <c r="X48" s="520"/>
      <c r="Y48" s="520"/>
      <c r="Z48" s="520"/>
      <c r="AA48" s="520"/>
      <c r="AB48" s="520"/>
      <c r="AC48" s="520"/>
      <c r="AD48" s="520"/>
    </row>
    <row r="49" spans="6:30">
      <c r="F49" s="520"/>
      <c r="G49" s="517"/>
      <c r="H49" s="517"/>
      <c r="I49" s="517"/>
      <c r="J49" s="520"/>
      <c r="K49" s="517"/>
      <c r="L49" s="517"/>
      <c r="M49" s="517"/>
      <c r="N49" s="520"/>
      <c r="O49" s="517"/>
      <c r="P49" s="517"/>
      <c r="Q49" s="517"/>
      <c r="R49" s="520"/>
      <c r="S49" s="517"/>
      <c r="T49" s="517"/>
      <c r="U49" s="517"/>
      <c r="V49" s="520"/>
      <c r="W49" s="517"/>
      <c r="X49" s="517"/>
      <c r="Y49" s="517"/>
      <c r="Z49" s="520"/>
      <c r="AA49" s="517"/>
      <c r="AB49" s="517"/>
      <c r="AC49" s="517"/>
      <c r="AD49" s="520"/>
    </row>
    <row r="51" spans="6:30">
      <c r="AB51" s="529"/>
      <c r="AC51" s="529"/>
    </row>
    <row r="52" spans="6:30">
      <c r="AB52" s="529"/>
      <c r="AC52" s="529"/>
    </row>
    <row r="53" spans="6:30">
      <c r="J53" s="529"/>
    </row>
  </sheetData>
  <mergeCells count="12">
    <mergeCell ref="K7:N7"/>
    <mergeCell ref="G7:J7"/>
    <mergeCell ref="C7:F7"/>
    <mergeCell ref="A44:B44"/>
    <mergeCell ref="A1:AD1"/>
    <mergeCell ref="A2:AD2"/>
    <mergeCell ref="A3:AD3"/>
    <mergeCell ref="A4:AD4"/>
    <mergeCell ref="AA7:AD7"/>
    <mergeCell ref="W7:Z7"/>
    <mergeCell ref="S7:V7"/>
    <mergeCell ref="O7:R7"/>
  </mergeCells>
  <phoneticPr fontId="19" type="noConversion"/>
  <pageMargins left="0.39370078740157483" right="0" top="0.98425196850393704" bottom="0.98425196850393704" header="0" footer="0"/>
  <pageSetup paperSize="5" scale="69" orientation="landscape" horizontalDpi="300" verticalDpi="300" r:id="rId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380"/>
  <sheetViews>
    <sheetView topLeftCell="Q43" workbookViewId="0">
      <selection activeCell="AB44" sqref="AB44"/>
    </sheetView>
  </sheetViews>
  <sheetFormatPr baseColWidth="10" defaultRowHeight="12"/>
  <cols>
    <col min="1" max="1" width="12.7109375" style="406" customWidth="1"/>
    <col min="2" max="2" width="16.7109375" style="406" customWidth="1"/>
    <col min="3" max="45" width="7.140625" style="406" customWidth="1"/>
    <col min="46" max="16384" width="11.42578125" style="406"/>
  </cols>
  <sheetData>
    <row r="1" spans="1:30">
      <c r="A1" s="1225" t="s">
        <v>1014</v>
      </c>
      <c r="B1" s="1225"/>
      <c r="C1" s="1225"/>
      <c r="D1" s="1225"/>
      <c r="E1" s="1225"/>
      <c r="F1" s="1225"/>
      <c r="G1" s="1225"/>
      <c r="H1" s="1225"/>
      <c r="I1" s="1225"/>
      <c r="J1" s="1225"/>
      <c r="K1" s="1225"/>
      <c r="L1" s="1225"/>
      <c r="M1" s="1225"/>
      <c r="N1" s="1225"/>
      <c r="O1" s="1225"/>
      <c r="P1" s="1225"/>
      <c r="Q1" s="1225"/>
      <c r="R1" s="1225"/>
      <c r="S1" s="1225"/>
      <c r="T1" s="1225"/>
      <c r="U1" s="1225"/>
      <c r="V1" s="1225"/>
      <c r="W1" s="1225"/>
      <c r="X1" s="1225"/>
      <c r="Y1" s="1225"/>
      <c r="Z1" s="1225"/>
      <c r="AA1" s="1225"/>
      <c r="AB1" s="1225"/>
      <c r="AC1" s="1225"/>
      <c r="AD1" s="1225"/>
    </row>
    <row r="2" spans="1:30">
      <c r="A2" s="1225" t="s">
        <v>1030</v>
      </c>
      <c r="B2" s="1225"/>
      <c r="C2" s="1225"/>
      <c r="D2" s="1225"/>
      <c r="E2" s="1225"/>
      <c r="F2" s="1225"/>
      <c r="G2" s="1225"/>
      <c r="H2" s="1225"/>
      <c r="I2" s="1225"/>
      <c r="J2" s="1225"/>
      <c r="K2" s="1225"/>
      <c r="L2" s="1225"/>
      <c r="M2" s="1225"/>
      <c r="N2" s="1225"/>
      <c r="O2" s="1225"/>
      <c r="P2" s="1225"/>
      <c r="Q2" s="1225"/>
      <c r="R2" s="1225"/>
      <c r="S2" s="1225"/>
      <c r="T2" s="1225"/>
      <c r="U2" s="1225"/>
      <c r="V2" s="1225"/>
      <c r="W2" s="1225"/>
      <c r="X2" s="1225"/>
      <c r="Y2" s="1225"/>
      <c r="Z2" s="1225"/>
      <c r="AA2" s="1225"/>
      <c r="AB2" s="1225"/>
      <c r="AC2" s="1225"/>
      <c r="AD2" s="1225"/>
    </row>
    <row r="3" spans="1:30">
      <c r="A3" s="1225" t="s">
        <v>970</v>
      </c>
      <c r="B3" s="1225"/>
      <c r="C3" s="1225"/>
      <c r="D3" s="1225"/>
      <c r="E3" s="1225"/>
      <c r="F3" s="1225"/>
      <c r="G3" s="1225"/>
      <c r="H3" s="1225"/>
      <c r="I3" s="1225"/>
      <c r="J3" s="1225"/>
      <c r="K3" s="1225"/>
      <c r="L3" s="1225"/>
      <c r="M3" s="1225"/>
      <c r="N3" s="1225"/>
      <c r="O3" s="1225"/>
      <c r="P3" s="1225"/>
      <c r="Q3" s="1225"/>
      <c r="R3" s="1225"/>
      <c r="S3" s="1225"/>
      <c r="T3" s="1225"/>
      <c r="U3" s="1225"/>
      <c r="V3" s="1225"/>
      <c r="W3" s="1225"/>
      <c r="X3" s="1225"/>
      <c r="Y3" s="1225"/>
      <c r="Z3" s="1225"/>
      <c r="AA3" s="1225"/>
      <c r="AB3" s="1225"/>
      <c r="AC3" s="1225"/>
      <c r="AD3" s="1225"/>
    </row>
    <row r="4" spans="1:30">
      <c r="A4" s="1225" t="str">
        <f>+'51'!A4:AD4</f>
        <v>2011 - 2014</v>
      </c>
      <c r="B4" s="1225"/>
      <c r="C4" s="1225"/>
      <c r="D4" s="1225"/>
      <c r="E4" s="1225"/>
      <c r="F4" s="1225"/>
      <c r="G4" s="1225"/>
      <c r="H4" s="1225"/>
      <c r="I4" s="1225"/>
      <c r="J4" s="1225"/>
      <c r="K4" s="1225"/>
      <c r="L4" s="1225"/>
      <c r="M4" s="1225"/>
      <c r="N4" s="1225"/>
      <c r="O4" s="1225"/>
      <c r="P4" s="1225"/>
      <c r="Q4" s="1225"/>
      <c r="R4" s="1225"/>
      <c r="S4" s="1225"/>
      <c r="T4" s="1225"/>
      <c r="U4" s="1225"/>
      <c r="V4" s="1225"/>
      <c r="W4" s="1225"/>
      <c r="X4" s="1225"/>
      <c r="Y4" s="1225"/>
      <c r="Z4" s="1225"/>
      <c r="AA4" s="1225"/>
      <c r="AB4" s="1225"/>
      <c r="AC4" s="1225"/>
      <c r="AD4" s="1225"/>
    </row>
    <row r="7" spans="1:30" s="515" customFormat="1" ht="22.5" customHeight="1">
      <c r="A7" s="513" t="s">
        <v>590</v>
      </c>
      <c r="B7" s="514" t="s">
        <v>926</v>
      </c>
      <c r="C7" s="1220" t="s">
        <v>1016</v>
      </c>
      <c r="D7" s="1221"/>
      <c r="E7" s="1221"/>
      <c r="F7" s="1222"/>
      <c r="G7" s="1220" t="s">
        <v>1017</v>
      </c>
      <c r="H7" s="1221"/>
      <c r="I7" s="1221"/>
      <c r="J7" s="1222"/>
      <c r="K7" s="1221" t="s">
        <v>1018</v>
      </c>
      <c r="L7" s="1221"/>
      <c r="M7" s="1221"/>
      <c r="N7" s="1221"/>
      <c r="O7" s="1220" t="s">
        <v>1019</v>
      </c>
      <c r="P7" s="1221"/>
      <c r="Q7" s="1221"/>
      <c r="R7" s="1222"/>
      <c r="S7" s="1221" t="s">
        <v>1020</v>
      </c>
      <c r="T7" s="1221"/>
      <c r="U7" s="1221"/>
      <c r="V7" s="1221"/>
      <c r="W7" s="1220" t="s">
        <v>1021</v>
      </c>
      <c r="X7" s="1221"/>
      <c r="Y7" s="1221"/>
      <c r="Z7" s="1222"/>
      <c r="AA7" s="1220" t="s">
        <v>706</v>
      </c>
      <c r="AB7" s="1221"/>
      <c r="AC7" s="1221"/>
      <c r="AD7" s="1222"/>
    </row>
    <row r="8" spans="1:30" s="515" customFormat="1" ht="22.5" customHeight="1">
      <c r="A8" s="495"/>
      <c r="B8" s="495"/>
      <c r="C8" s="496">
        <f>+'50'!C8</f>
        <v>2011</v>
      </c>
      <c r="D8" s="497">
        <f>+'50'!D8</f>
        <v>2012</v>
      </c>
      <c r="E8" s="497">
        <f>+'50'!E8</f>
        <v>2013</v>
      </c>
      <c r="F8" s="498">
        <f>+'50'!F8</f>
        <v>2014</v>
      </c>
      <c r="G8" s="497">
        <f>+'50'!G8</f>
        <v>2011</v>
      </c>
      <c r="H8" s="497">
        <f>+'50'!H8</f>
        <v>2012</v>
      </c>
      <c r="I8" s="497">
        <f>+'50'!I8</f>
        <v>2013</v>
      </c>
      <c r="J8" s="497">
        <f>+'50'!J8</f>
        <v>2014</v>
      </c>
      <c r="K8" s="496">
        <f>+'50'!K8</f>
        <v>2011</v>
      </c>
      <c r="L8" s="497">
        <f>+'50'!L8</f>
        <v>2012</v>
      </c>
      <c r="M8" s="497">
        <f>+'50'!M8</f>
        <v>2013</v>
      </c>
      <c r="N8" s="498">
        <f>+'50'!N8</f>
        <v>2014</v>
      </c>
      <c r="O8" s="497">
        <f>+'50'!O8</f>
        <v>2011</v>
      </c>
      <c r="P8" s="497">
        <f>+'50'!P8</f>
        <v>2012</v>
      </c>
      <c r="Q8" s="497">
        <f>+'50'!Q8</f>
        <v>2013</v>
      </c>
      <c r="R8" s="497">
        <f>+'50'!R8</f>
        <v>2014</v>
      </c>
      <c r="S8" s="496">
        <f>+'50'!S8</f>
        <v>2011</v>
      </c>
      <c r="T8" s="497">
        <f>+'50'!T8</f>
        <v>2012</v>
      </c>
      <c r="U8" s="497">
        <f>+'50'!U8</f>
        <v>2013</v>
      </c>
      <c r="V8" s="498">
        <f>+'50'!V8</f>
        <v>2014</v>
      </c>
      <c r="W8" s="497">
        <f>+'50'!W8</f>
        <v>2011</v>
      </c>
      <c r="X8" s="497">
        <f>+'50'!X8</f>
        <v>2012</v>
      </c>
      <c r="Y8" s="497">
        <f>+'50'!Y8</f>
        <v>2013</v>
      </c>
      <c r="Z8" s="498">
        <f>+'50'!Z8</f>
        <v>2014</v>
      </c>
      <c r="AA8" s="496">
        <f>+'50'!AA8</f>
        <v>2011</v>
      </c>
      <c r="AB8" s="497">
        <f>+'50'!AB8</f>
        <v>2012</v>
      </c>
      <c r="AC8" s="497">
        <f>+'50'!AC8</f>
        <v>2013</v>
      </c>
      <c r="AD8" s="498">
        <f>+'50'!AD8</f>
        <v>2014</v>
      </c>
    </row>
    <row r="9" spans="1:30" s="515" customFormat="1" ht="22.5" customHeight="1">
      <c r="A9" s="499" t="s">
        <v>1022</v>
      </c>
      <c r="B9" s="514" t="s">
        <v>887</v>
      </c>
      <c r="C9" s="503">
        <v>0</v>
      </c>
      <c r="D9" s="378">
        <v>0</v>
      </c>
      <c r="E9" s="378"/>
      <c r="F9" s="500"/>
      <c r="G9" s="378"/>
      <c r="H9" s="378"/>
      <c r="I9" s="378"/>
      <c r="J9" s="500"/>
      <c r="K9" s="378">
        <v>8914</v>
      </c>
      <c r="L9" s="378">
        <v>7899</v>
      </c>
      <c r="M9" s="378">
        <v>6409</v>
      </c>
      <c r="N9" s="500">
        <v>7036</v>
      </c>
      <c r="O9" s="503"/>
      <c r="P9" s="378"/>
      <c r="Q9" s="378"/>
      <c r="R9" s="500"/>
      <c r="S9" s="503"/>
      <c r="T9" s="378"/>
      <c r="U9" s="378"/>
      <c r="V9" s="500"/>
      <c r="W9" s="378"/>
      <c r="X9" s="378"/>
      <c r="Y9" s="378"/>
      <c r="Z9" s="500"/>
      <c r="AA9" s="378">
        <f t="shared" ref="AA9:AD12" si="0">+W9+S9+O9+K9+G9+C9</f>
        <v>8914</v>
      </c>
      <c r="AB9" s="378">
        <f t="shared" si="0"/>
        <v>7899</v>
      </c>
      <c r="AC9" s="378">
        <f t="shared" si="0"/>
        <v>6409</v>
      </c>
      <c r="AD9" s="500">
        <f t="shared" si="0"/>
        <v>7036</v>
      </c>
    </row>
    <row r="10" spans="1:30" s="515" customFormat="1" ht="22.5" customHeight="1">
      <c r="A10" s="499"/>
      <c r="B10" s="350" t="s">
        <v>888</v>
      </c>
      <c r="C10" s="378">
        <v>49</v>
      </c>
      <c r="D10" s="378">
        <v>50</v>
      </c>
      <c r="E10" s="378">
        <v>0</v>
      </c>
      <c r="F10" s="500"/>
      <c r="G10" s="378"/>
      <c r="H10" s="378"/>
      <c r="I10" s="378"/>
      <c r="J10" s="500"/>
      <c r="K10" s="378">
        <v>8015</v>
      </c>
      <c r="L10" s="378">
        <v>7471</v>
      </c>
      <c r="M10" s="378">
        <v>7381</v>
      </c>
      <c r="N10" s="500">
        <v>7633</v>
      </c>
      <c r="O10" s="378"/>
      <c r="P10" s="378"/>
      <c r="Q10" s="378"/>
      <c r="R10" s="500"/>
      <c r="S10" s="378"/>
      <c r="T10" s="378"/>
      <c r="U10" s="378"/>
      <c r="V10" s="500"/>
      <c r="W10" s="378"/>
      <c r="X10" s="378"/>
      <c r="Y10" s="378"/>
      <c r="Z10" s="500"/>
      <c r="AA10" s="378">
        <f t="shared" si="0"/>
        <v>8064</v>
      </c>
      <c r="AB10" s="378">
        <f t="shared" si="0"/>
        <v>7521</v>
      </c>
      <c r="AC10" s="378">
        <f t="shared" si="0"/>
        <v>7381</v>
      </c>
      <c r="AD10" s="500">
        <f t="shared" si="0"/>
        <v>7633</v>
      </c>
    </row>
    <row r="11" spans="1:30" s="515" customFormat="1" ht="22.5" customHeight="1">
      <c r="A11" s="499"/>
      <c r="B11" s="350" t="s">
        <v>889</v>
      </c>
      <c r="C11" s="378">
        <v>0</v>
      </c>
      <c r="D11" s="378">
        <v>0</v>
      </c>
      <c r="E11" s="378">
        <v>5</v>
      </c>
      <c r="F11" s="500"/>
      <c r="G11" s="378"/>
      <c r="H11" s="378"/>
      <c r="I11" s="378"/>
      <c r="J11" s="500"/>
      <c r="K11" s="378">
        <v>1555</v>
      </c>
      <c r="L11" s="378">
        <v>1348</v>
      </c>
      <c r="M11" s="378">
        <v>1086</v>
      </c>
      <c r="N11" s="500">
        <v>1085</v>
      </c>
      <c r="O11" s="378"/>
      <c r="P11" s="378"/>
      <c r="Q11" s="378"/>
      <c r="R11" s="500"/>
      <c r="S11" s="378"/>
      <c r="T11" s="378"/>
      <c r="U11" s="378"/>
      <c r="V11" s="500"/>
      <c r="W11" s="378"/>
      <c r="X11" s="378"/>
      <c r="Y11" s="378"/>
      <c r="Z11" s="500"/>
      <c r="AA11" s="378">
        <f t="shared" si="0"/>
        <v>1555</v>
      </c>
      <c r="AB11" s="378">
        <f t="shared" si="0"/>
        <v>1348</v>
      </c>
      <c r="AC11" s="378">
        <f t="shared" si="0"/>
        <v>1091</v>
      </c>
      <c r="AD11" s="500">
        <f t="shared" si="0"/>
        <v>1085</v>
      </c>
    </row>
    <row r="12" spans="1:30" s="515" customFormat="1" ht="22.5" customHeight="1">
      <c r="A12" s="499"/>
      <c r="B12" s="303" t="s">
        <v>1357</v>
      </c>
      <c r="C12" s="378"/>
      <c r="D12" s="378">
        <v>14</v>
      </c>
      <c r="E12" s="378">
        <v>4</v>
      </c>
      <c r="F12" s="500"/>
      <c r="G12" s="378"/>
      <c r="H12" s="378"/>
      <c r="I12" s="378"/>
      <c r="J12" s="500"/>
      <c r="K12" s="378"/>
      <c r="L12" s="378">
        <v>267</v>
      </c>
      <c r="M12" s="378">
        <v>311</v>
      </c>
      <c r="N12" s="500">
        <v>288</v>
      </c>
      <c r="O12" s="378"/>
      <c r="P12" s="378"/>
      <c r="Q12" s="378"/>
      <c r="R12" s="500"/>
      <c r="S12" s="378"/>
      <c r="T12" s="378"/>
      <c r="U12" s="378"/>
      <c r="V12" s="500"/>
      <c r="W12" s="378"/>
      <c r="X12" s="378"/>
      <c r="Y12" s="378"/>
      <c r="Z12" s="500"/>
      <c r="AA12" s="378"/>
      <c r="AB12" s="378">
        <f t="shared" si="0"/>
        <v>281</v>
      </c>
      <c r="AC12" s="378">
        <f t="shared" si="0"/>
        <v>315</v>
      </c>
      <c r="AD12" s="500">
        <f>+Z12+V12+R12+N12+J12+F12</f>
        <v>288</v>
      </c>
    </row>
    <row r="13" spans="1:30" s="515" customFormat="1" ht="22.5" customHeight="1">
      <c r="A13" s="499"/>
      <c r="B13" s="350" t="s">
        <v>690</v>
      </c>
      <c r="C13" s="377">
        <f t="shared" ref="C13:D13" si="1">SUM(C9:C12)</f>
        <v>49</v>
      </c>
      <c r="D13" s="378">
        <f t="shared" si="1"/>
        <v>64</v>
      </c>
      <c r="E13" s="378">
        <f>SUM(E9:E12)</f>
        <v>9</v>
      </c>
      <c r="F13" s="500">
        <f>SUM(F9:F12)</f>
        <v>0</v>
      </c>
      <c r="G13" s="377">
        <f t="shared" ref="G13" si="2">SUM(G9:G12)</f>
        <v>0</v>
      </c>
      <c r="H13" s="378">
        <f t="shared" ref="H13:J13" si="3">SUM(H9:H12)</f>
        <v>0</v>
      </c>
      <c r="I13" s="378">
        <f t="shared" si="3"/>
        <v>0</v>
      </c>
      <c r="J13" s="500">
        <f t="shared" si="3"/>
        <v>0</v>
      </c>
      <c r="K13" s="377">
        <f t="shared" ref="K13" si="4">SUM(K9:K12)</f>
        <v>18484</v>
      </c>
      <c r="L13" s="378">
        <f t="shared" ref="L13:N13" si="5">SUM(L9:L12)</f>
        <v>16985</v>
      </c>
      <c r="M13" s="378">
        <f t="shared" si="5"/>
        <v>15187</v>
      </c>
      <c r="N13" s="500">
        <f t="shared" si="5"/>
        <v>16042</v>
      </c>
      <c r="O13" s="377">
        <f t="shared" ref="O13" si="6">SUM(O9:O12)</f>
        <v>0</v>
      </c>
      <c r="P13" s="378">
        <f t="shared" ref="P13:R13" si="7">SUM(P9:P12)</f>
        <v>0</v>
      </c>
      <c r="Q13" s="378">
        <f t="shared" si="7"/>
        <v>0</v>
      </c>
      <c r="R13" s="500">
        <f t="shared" si="7"/>
        <v>0</v>
      </c>
      <c r="S13" s="377">
        <f t="shared" ref="S13" si="8">SUM(S9:S12)</f>
        <v>0</v>
      </c>
      <c r="T13" s="378">
        <f t="shared" ref="T13:V13" si="9">SUM(T9:T12)</f>
        <v>0</v>
      </c>
      <c r="U13" s="378">
        <f t="shared" si="9"/>
        <v>0</v>
      </c>
      <c r="V13" s="500">
        <f t="shared" si="9"/>
        <v>0</v>
      </c>
      <c r="W13" s="377">
        <f t="shared" ref="W13" si="10">SUM(W9:W12)</f>
        <v>0</v>
      </c>
      <c r="X13" s="378">
        <f t="shared" ref="X13:Z13" si="11">SUM(X9:X12)</f>
        <v>0</v>
      </c>
      <c r="Y13" s="378">
        <f t="shared" si="11"/>
        <v>0</v>
      </c>
      <c r="Z13" s="500">
        <f t="shared" si="11"/>
        <v>0</v>
      </c>
      <c r="AA13" s="377">
        <f t="shared" ref="AA13" si="12">SUM(AA9:AA12)</f>
        <v>18533</v>
      </c>
      <c r="AB13" s="378">
        <f t="shared" ref="AB13:AD13" si="13">SUM(AB9:AB12)</f>
        <v>17049</v>
      </c>
      <c r="AC13" s="378">
        <f t="shared" si="13"/>
        <v>15196</v>
      </c>
      <c r="AD13" s="500">
        <f t="shared" si="13"/>
        <v>16042</v>
      </c>
    </row>
    <row r="14" spans="1:30" s="515" customFormat="1" ht="22.5" customHeight="1">
      <c r="A14" s="499" t="s">
        <v>576</v>
      </c>
      <c r="B14" s="350" t="s">
        <v>890</v>
      </c>
      <c r="C14" s="378">
        <v>313</v>
      </c>
      <c r="D14" s="378">
        <v>12</v>
      </c>
      <c r="E14" s="378"/>
      <c r="F14" s="500"/>
      <c r="G14" s="378"/>
      <c r="H14" s="378"/>
      <c r="I14" s="378"/>
      <c r="J14" s="500"/>
      <c r="K14" s="378">
        <v>5653</v>
      </c>
      <c r="L14" s="378">
        <v>3635</v>
      </c>
      <c r="M14" s="378">
        <v>3643</v>
      </c>
      <c r="N14" s="500">
        <v>3867</v>
      </c>
      <c r="O14" s="378"/>
      <c r="P14" s="378"/>
      <c r="Q14" s="378"/>
      <c r="R14" s="500"/>
      <c r="S14" s="378"/>
      <c r="T14" s="378"/>
      <c r="U14" s="378"/>
      <c r="V14" s="500"/>
      <c r="W14" s="378"/>
      <c r="X14" s="378"/>
      <c r="Y14" s="378"/>
      <c r="Z14" s="500"/>
      <c r="AA14" s="378">
        <f>+W14+S14+O14+K14+G14+C14</f>
        <v>5966</v>
      </c>
      <c r="AB14" s="378">
        <f>+X14+T14+P14+L14+H14+D14</f>
        <v>3647</v>
      </c>
      <c r="AC14" s="378">
        <f>+Y14+U14+Q14+M14+I14+E14</f>
        <v>3643</v>
      </c>
      <c r="AD14" s="500">
        <f>+Z14+V14+R14+N14+J14+F14</f>
        <v>3867</v>
      </c>
    </row>
    <row r="15" spans="1:30" s="515" customFormat="1" ht="22.5" customHeight="1">
      <c r="A15" s="499"/>
      <c r="B15" s="254" t="s">
        <v>1362</v>
      </c>
      <c r="C15" s="378"/>
      <c r="D15" s="378"/>
      <c r="E15" s="378"/>
      <c r="F15" s="500"/>
      <c r="G15" s="378"/>
      <c r="H15" s="378"/>
      <c r="I15" s="378"/>
      <c r="J15" s="500"/>
      <c r="K15" s="378"/>
      <c r="L15" s="378">
        <v>1348</v>
      </c>
      <c r="M15" s="378">
        <v>736</v>
      </c>
      <c r="N15" s="500">
        <v>606</v>
      </c>
      <c r="O15" s="378"/>
      <c r="P15" s="378"/>
      <c r="Q15" s="378"/>
      <c r="R15" s="500"/>
      <c r="S15" s="378"/>
      <c r="T15" s="378"/>
      <c r="U15" s="378"/>
      <c r="V15" s="500"/>
      <c r="W15" s="378"/>
      <c r="X15" s="378"/>
      <c r="Y15" s="378"/>
      <c r="Z15" s="500"/>
      <c r="AA15" s="378"/>
      <c r="AB15" s="378">
        <f t="shared" ref="AB15:AD16" si="14">+X15+T15+P15+L15+H15+D15</f>
        <v>1348</v>
      </c>
      <c r="AC15" s="378">
        <f t="shared" si="14"/>
        <v>736</v>
      </c>
      <c r="AD15" s="500">
        <f t="shared" si="14"/>
        <v>606</v>
      </c>
    </row>
    <row r="16" spans="1:30" s="515" customFormat="1" ht="22.5" customHeight="1">
      <c r="A16" s="499"/>
      <c r="B16" s="303" t="s">
        <v>1359</v>
      </c>
      <c r="C16" s="378"/>
      <c r="D16" s="378">
        <v>5</v>
      </c>
      <c r="E16" s="378"/>
      <c r="F16" s="500"/>
      <c r="G16" s="378"/>
      <c r="H16" s="378"/>
      <c r="I16" s="378"/>
      <c r="J16" s="500"/>
      <c r="K16" s="378"/>
      <c r="L16" s="378">
        <v>589</v>
      </c>
      <c r="M16" s="378">
        <v>482</v>
      </c>
      <c r="N16" s="500">
        <v>419</v>
      </c>
      <c r="O16" s="378"/>
      <c r="P16" s="378"/>
      <c r="Q16" s="378"/>
      <c r="R16" s="500"/>
      <c r="S16" s="378"/>
      <c r="T16" s="378"/>
      <c r="U16" s="378"/>
      <c r="V16" s="500"/>
      <c r="W16" s="378"/>
      <c r="X16" s="378"/>
      <c r="Y16" s="378"/>
      <c r="Z16" s="500"/>
      <c r="AA16" s="378"/>
      <c r="AB16" s="378">
        <f t="shared" si="14"/>
        <v>594</v>
      </c>
      <c r="AC16" s="378">
        <f t="shared" si="14"/>
        <v>482</v>
      </c>
      <c r="AD16" s="500">
        <f t="shared" si="14"/>
        <v>419</v>
      </c>
    </row>
    <row r="17" spans="1:30" s="515" customFormat="1" ht="22.5" customHeight="1">
      <c r="A17" s="499"/>
      <c r="B17" s="350" t="s">
        <v>690</v>
      </c>
      <c r="C17" s="377">
        <f t="shared" ref="C17:D17" si="15">SUM(C14:C16)</f>
        <v>313</v>
      </c>
      <c r="D17" s="378">
        <f t="shared" si="15"/>
        <v>17</v>
      </c>
      <c r="E17" s="378">
        <f>SUM(E14:E16)</f>
        <v>0</v>
      </c>
      <c r="F17" s="500">
        <f>SUM(F14:F16)</f>
        <v>0</v>
      </c>
      <c r="G17" s="377">
        <f t="shared" ref="G17" si="16">SUM(G14:G16)</f>
        <v>0</v>
      </c>
      <c r="H17" s="378">
        <f t="shared" ref="H17:J17" si="17">SUM(H14:H16)</f>
        <v>0</v>
      </c>
      <c r="I17" s="378">
        <f t="shared" si="17"/>
        <v>0</v>
      </c>
      <c r="J17" s="500">
        <f t="shared" si="17"/>
        <v>0</v>
      </c>
      <c r="K17" s="377">
        <f t="shared" ref="K17" si="18">SUM(K14:K16)</f>
        <v>5653</v>
      </c>
      <c r="L17" s="378">
        <f t="shared" ref="L17:N17" si="19">SUM(L14:L16)</f>
        <v>5572</v>
      </c>
      <c r="M17" s="378">
        <f t="shared" si="19"/>
        <v>4861</v>
      </c>
      <c r="N17" s="500">
        <f t="shared" si="19"/>
        <v>4892</v>
      </c>
      <c r="O17" s="377">
        <f t="shared" ref="O17" si="20">SUM(O14:O16)</f>
        <v>0</v>
      </c>
      <c r="P17" s="378">
        <f t="shared" ref="P17:R17" si="21">SUM(P14:P16)</f>
        <v>0</v>
      </c>
      <c r="Q17" s="378">
        <f t="shared" si="21"/>
        <v>0</v>
      </c>
      <c r="R17" s="500">
        <f t="shared" si="21"/>
        <v>0</v>
      </c>
      <c r="S17" s="377">
        <f t="shared" ref="S17" si="22">SUM(S14:S16)</f>
        <v>0</v>
      </c>
      <c r="T17" s="378">
        <f t="shared" ref="T17:V17" si="23">SUM(T14:T16)</f>
        <v>0</v>
      </c>
      <c r="U17" s="378">
        <f t="shared" si="23"/>
        <v>0</v>
      </c>
      <c r="V17" s="500">
        <f t="shared" si="23"/>
        <v>0</v>
      </c>
      <c r="W17" s="377">
        <f t="shared" ref="W17" si="24">SUM(W14:W16)</f>
        <v>0</v>
      </c>
      <c r="X17" s="378">
        <f t="shared" ref="X17:Z17" si="25">SUM(X14:X16)</f>
        <v>0</v>
      </c>
      <c r="Y17" s="378">
        <f t="shared" si="25"/>
        <v>0</v>
      </c>
      <c r="Z17" s="500">
        <f t="shared" si="25"/>
        <v>0</v>
      </c>
      <c r="AA17" s="377">
        <f t="shared" ref="AA17" si="26">SUM(AA14:AA16)</f>
        <v>5966</v>
      </c>
      <c r="AB17" s="378">
        <f t="shared" ref="AB17:AD17" si="27">SUM(AB14:AB16)</f>
        <v>5589</v>
      </c>
      <c r="AC17" s="378">
        <f t="shared" si="27"/>
        <v>4861</v>
      </c>
      <c r="AD17" s="500">
        <f t="shared" si="27"/>
        <v>4892</v>
      </c>
    </row>
    <row r="18" spans="1:30" s="515" customFormat="1" ht="22.5" customHeight="1">
      <c r="A18" s="499" t="s">
        <v>1023</v>
      </c>
      <c r="B18" s="350" t="s">
        <v>892</v>
      </c>
      <c r="C18" s="378">
        <v>5</v>
      </c>
      <c r="D18" s="378">
        <v>0</v>
      </c>
      <c r="E18" s="378">
        <v>1</v>
      </c>
      <c r="F18" s="500">
        <v>30</v>
      </c>
      <c r="G18" s="378"/>
      <c r="H18" s="378"/>
      <c r="I18" s="378"/>
      <c r="J18" s="500"/>
      <c r="K18" s="378">
        <v>3912</v>
      </c>
      <c r="L18" s="378">
        <v>3287</v>
      </c>
      <c r="M18" s="378">
        <v>2999</v>
      </c>
      <c r="N18" s="500">
        <v>3139</v>
      </c>
      <c r="O18" s="378"/>
      <c r="P18" s="378"/>
      <c r="Q18" s="378"/>
      <c r="R18" s="500"/>
      <c r="S18" s="378"/>
      <c r="T18" s="378"/>
      <c r="U18" s="378"/>
      <c r="V18" s="500"/>
      <c r="W18" s="378"/>
      <c r="X18" s="378"/>
      <c r="Y18" s="378"/>
      <c r="Z18" s="500"/>
      <c r="AA18" s="378">
        <f>+W18+S18+O18+K18+G18+C18</f>
        <v>3917</v>
      </c>
      <c r="AB18" s="378">
        <f>+X18+T18+P18+L18+H18+D18</f>
        <v>3287</v>
      </c>
      <c r="AC18" s="378">
        <f>+Y18+U18+Q18+M18+I18+E18</f>
        <v>3000</v>
      </c>
      <c r="AD18" s="500">
        <f>+Z18+V18+R18+N18+J18+F18</f>
        <v>3169</v>
      </c>
    </row>
    <row r="19" spans="1:30" s="515" customFormat="1" ht="22.5" customHeight="1">
      <c r="A19" s="499"/>
      <c r="B19" s="303" t="s">
        <v>1361</v>
      </c>
      <c r="C19" s="378"/>
      <c r="D19" s="378"/>
      <c r="E19" s="378"/>
      <c r="F19" s="500"/>
      <c r="G19" s="378"/>
      <c r="H19" s="378"/>
      <c r="I19" s="378"/>
      <c r="J19" s="500"/>
      <c r="K19" s="378"/>
      <c r="L19" s="378">
        <v>322</v>
      </c>
      <c r="M19" s="378">
        <v>310</v>
      </c>
      <c r="N19" s="500">
        <v>320</v>
      </c>
      <c r="O19" s="378"/>
      <c r="P19" s="378"/>
      <c r="Q19" s="378"/>
      <c r="R19" s="500"/>
      <c r="S19" s="378"/>
      <c r="T19" s="378"/>
      <c r="U19" s="378"/>
      <c r="V19" s="500"/>
      <c r="W19" s="378"/>
      <c r="X19" s="378"/>
      <c r="Y19" s="378"/>
      <c r="Z19" s="500"/>
      <c r="AA19" s="378"/>
      <c r="AB19" s="378">
        <f>+X19+T19+P19+L19+H19+D19</f>
        <v>322</v>
      </c>
      <c r="AC19" s="378">
        <f>+Y19+U19+Q19+M19+I19+E19</f>
        <v>310</v>
      </c>
      <c r="AD19" s="500">
        <f>+Z19+V19+R19+N19+J19+F19</f>
        <v>320</v>
      </c>
    </row>
    <row r="20" spans="1:30" s="515" customFormat="1" ht="22.5" customHeight="1">
      <c r="A20" s="499"/>
      <c r="B20" s="350" t="s">
        <v>690</v>
      </c>
      <c r="C20" s="377">
        <f t="shared" ref="C20:D20" si="28">SUM(C18:C19)</f>
        <v>5</v>
      </c>
      <c r="D20" s="378">
        <f t="shared" si="28"/>
        <v>0</v>
      </c>
      <c r="E20" s="378">
        <f>SUM(E18:E19)</f>
        <v>1</v>
      </c>
      <c r="F20" s="500">
        <f>SUM(F18:F19)</f>
        <v>30</v>
      </c>
      <c r="G20" s="377">
        <f t="shared" ref="G20" si="29">SUM(G18:G19)</f>
        <v>0</v>
      </c>
      <c r="H20" s="378">
        <f t="shared" ref="H20:J20" si="30">SUM(H18:H19)</f>
        <v>0</v>
      </c>
      <c r="I20" s="378">
        <f t="shared" si="30"/>
        <v>0</v>
      </c>
      <c r="J20" s="500">
        <f t="shared" si="30"/>
        <v>0</v>
      </c>
      <c r="K20" s="377">
        <f t="shared" ref="K20" si="31">SUM(K18:K19)</f>
        <v>3912</v>
      </c>
      <c r="L20" s="378">
        <f t="shared" ref="L20:N20" si="32">SUM(L18:L19)</f>
        <v>3609</v>
      </c>
      <c r="M20" s="378">
        <f t="shared" si="32"/>
        <v>3309</v>
      </c>
      <c r="N20" s="500">
        <f t="shared" si="32"/>
        <v>3459</v>
      </c>
      <c r="O20" s="377">
        <f t="shared" ref="O20" si="33">SUM(O18:O19)</f>
        <v>0</v>
      </c>
      <c r="P20" s="378">
        <f t="shared" ref="P20:R20" si="34">SUM(P18:P19)</f>
        <v>0</v>
      </c>
      <c r="Q20" s="378">
        <f t="shared" si="34"/>
        <v>0</v>
      </c>
      <c r="R20" s="500">
        <f t="shared" si="34"/>
        <v>0</v>
      </c>
      <c r="S20" s="377">
        <f t="shared" ref="S20" si="35">SUM(S18:S19)</f>
        <v>0</v>
      </c>
      <c r="T20" s="378">
        <f t="shared" ref="T20:V20" si="36">SUM(T18:T19)</f>
        <v>0</v>
      </c>
      <c r="U20" s="378">
        <f t="shared" si="36"/>
        <v>0</v>
      </c>
      <c r="V20" s="500">
        <f t="shared" si="36"/>
        <v>0</v>
      </c>
      <c r="W20" s="377">
        <f t="shared" ref="W20" si="37">SUM(W18:W19)</f>
        <v>0</v>
      </c>
      <c r="X20" s="378">
        <f t="shared" ref="X20:Z20" si="38">SUM(X18:X19)</f>
        <v>0</v>
      </c>
      <c r="Y20" s="378">
        <f t="shared" si="38"/>
        <v>0</v>
      </c>
      <c r="Z20" s="500">
        <f t="shared" si="38"/>
        <v>0</v>
      </c>
      <c r="AA20" s="377">
        <f t="shared" ref="AA20" si="39">SUM(AA18:AA19)</f>
        <v>3917</v>
      </c>
      <c r="AB20" s="378">
        <f t="shared" ref="AB20:AD20" si="40">SUM(AB18:AB19)</f>
        <v>3609</v>
      </c>
      <c r="AC20" s="378">
        <f t="shared" si="40"/>
        <v>3310</v>
      </c>
      <c r="AD20" s="500">
        <f t="shared" si="40"/>
        <v>3489</v>
      </c>
    </row>
    <row r="21" spans="1:30" s="515" customFormat="1" ht="22.5" customHeight="1">
      <c r="A21" s="499" t="s">
        <v>578</v>
      </c>
      <c r="B21" s="350" t="s">
        <v>893</v>
      </c>
      <c r="C21" s="378">
        <v>111</v>
      </c>
      <c r="D21" s="378">
        <v>122</v>
      </c>
      <c r="E21" s="378">
        <v>378</v>
      </c>
      <c r="F21" s="500">
        <v>103</v>
      </c>
      <c r="G21" s="378"/>
      <c r="H21" s="378"/>
      <c r="I21" s="378"/>
      <c r="J21" s="500"/>
      <c r="K21" s="378">
        <v>2808</v>
      </c>
      <c r="L21" s="378">
        <v>3714</v>
      </c>
      <c r="M21" s="378">
        <v>4174</v>
      </c>
      <c r="N21" s="500">
        <v>3765</v>
      </c>
      <c r="O21" s="378"/>
      <c r="P21" s="378"/>
      <c r="Q21" s="378"/>
      <c r="R21" s="500"/>
      <c r="S21" s="378"/>
      <c r="T21" s="378"/>
      <c r="U21" s="378"/>
      <c r="V21" s="500"/>
      <c r="W21" s="378"/>
      <c r="X21" s="378"/>
      <c r="Y21" s="378"/>
      <c r="Z21" s="500"/>
      <c r="AA21" s="378">
        <f>+W21+S21+O21+K21+G21+C21</f>
        <v>2919</v>
      </c>
      <c r="AB21" s="378">
        <f>+X21+T21+P21+L21+H21+D21</f>
        <v>3836</v>
      </c>
      <c r="AC21" s="378">
        <f>+Y21+U21+Q21+M21+I21+E21</f>
        <v>4552</v>
      </c>
      <c r="AD21" s="500">
        <f>+Z21+V21+R21+N21+J21+F21</f>
        <v>3868</v>
      </c>
    </row>
    <row r="22" spans="1:30" s="515" customFormat="1" ht="22.5" customHeight="1">
      <c r="A22" s="509" t="s">
        <v>1024</v>
      </c>
      <c r="B22" s="1068"/>
      <c r="C22" s="507">
        <f t="shared" ref="C22:D22" si="41">+C13+C17+C20+C21</f>
        <v>478</v>
      </c>
      <c r="D22" s="507">
        <f t="shared" si="41"/>
        <v>203</v>
      </c>
      <c r="E22" s="507">
        <f>+E13+E17+E20+E21</f>
        <v>388</v>
      </c>
      <c r="F22" s="508">
        <f>+F13+F17+F20+F21</f>
        <v>133</v>
      </c>
      <c r="G22" s="507">
        <f t="shared" ref="G22" si="42">+G13+G17+G20+G21</f>
        <v>0</v>
      </c>
      <c r="H22" s="507">
        <f t="shared" ref="H22:J22" si="43">+H13+H17+H20+H21</f>
        <v>0</v>
      </c>
      <c r="I22" s="507">
        <f t="shared" si="43"/>
        <v>0</v>
      </c>
      <c r="J22" s="508">
        <f t="shared" si="43"/>
        <v>0</v>
      </c>
      <c r="K22" s="507">
        <f t="shared" ref="K22" si="44">+K13+K17+K20+K21</f>
        <v>30857</v>
      </c>
      <c r="L22" s="507">
        <f t="shared" ref="L22:N22" si="45">+L13+L17+L20+L21</f>
        <v>29880</v>
      </c>
      <c r="M22" s="507">
        <f t="shared" si="45"/>
        <v>27531</v>
      </c>
      <c r="N22" s="508">
        <f t="shared" si="45"/>
        <v>28158</v>
      </c>
      <c r="O22" s="507">
        <f t="shared" ref="O22" si="46">+O13+O17+O20+O21</f>
        <v>0</v>
      </c>
      <c r="P22" s="507">
        <f t="shared" ref="P22:R22" si="47">+P13+P17+P20+P21</f>
        <v>0</v>
      </c>
      <c r="Q22" s="507">
        <f t="shared" si="47"/>
        <v>0</v>
      </c>
      <c r="R22" s="508">
        <f t="shared" si="47"/>
        <v>0</v>
      </c>
      <c r="S22" s="507">
        <f t="shared" ref="S22" si="48">+S13+S17+S20+S21</f>
        <v>0</v>
      </c>
      <c r="T22" s="507">
        <f t="shared" ref="T22:V22" si="49">+T13+T17+T20+T21</f>
        <v>0</v>
      </c>
      <c r="U22" s="507">
        <f t="shared" si="49"/>
        <v>0</v>
      </c>
      <c r="V22" s="508">
        <f t="shared" si="49"/>
        <v>0</v>
      </c>
      <c r="W22" s="507">
        <f t="shared" ref="W22" si="50">+W13+W17+W20+W21</f>
        <v>0</v>
      </c>
      <c r="X22" s="507">
        <f t="shared" ref="X22:Z22" si="51">+X13+X17+X20+X21</f>
        <v>0</v>
      </c>
      <c r="Y22" s="507">
        <f t="shared" si="51"/>
        <v>0</v>
      </c>
      <c r="Z22" s="508">
        <f t="shared" si="51"/>
        <v>0</v>
      </c>
      <c r="AA22" s="507">
        <f t="shared" ref="AA22" si="52">+AA13+AA17+AA20+AA21</f>
        <v>31335</v>
      </c>
      <c r="AB22" s="507">
        <f t="shared" ref="AB22:AD22" si="53">+AB13+AB17+AB20+AB21</f>
        <v>30083</v>
      </c>
      <c r="AC22" s="507">
        <f t="shared" si="53"/>
        <v>27919</v>
      </c>
      <c r="AD22" s="508">
        <f t="shared" si="53"/>
        <v>28291</v>
      </c>
    </row>
    <row r="23" spans="1:30" s="515" customFormat="1" ht="22.5" customHeight="1">
      <c r="A23" s="499" t="s">
        <v>1025</v>
      </c>
      <c r="B23" s="350" t="s">
        <v>895</v>
      </c>
      <c r="C23" s="378"/>
      <c r="D23" s="378"/>
      <c r="E23" s="378"/>
      <c r="F23" s="500"/>
      <c r="G23" s="378"/>
      <c r="H23" s="378"/>
      <c r="I23" s="378"/>
      <c r="J23" s="500"/>
      <c r="K23" s="378">
        <v>7502</v>
      </c>
      <c r="L23" s="378">
        <v>7928</v>
      </c>
      <c r="M23" s="378">
        <v>6438</v>
      </c>
      <c r="N23" s="500">
        <v>6853</v>
      </c>
      <c r="O23" s="378"/>
      <c r="P23" s="378"/>
      <c r="Q23" s="378"/>
      <c r="R23" s="500"/>
      <c r="S23" s="378"/>
      <c r="T23" s="378"/>
      <c r="U23" s="378"/>
      <c r="V23" s="500"/>
      <c r="W23" s="378"/>
      <c r="X23" s="378"/>
      <c r="Y23" s="378"/>
      <c r="Z23" s="500"/>
      <c r="AA23" s="378">
        <f t="shared" ref="AA23:AD26" si="54">+W23+S23+O23+K23+G23+C23</f>
        <v>7502</v>
      </c>
      <c r="AB23" s="378">
        <f t="shared" si="54"/>
        <v>7928</v>
      </c>
      <c r="AC23" s="378">
        <f t="shared" si="54"/>
        <v>6438</v>
      </c>
      <c r="AD23" s="500">
        <f t="shared" si="54"/>
        <v>6853</v>
      </c>
    </row>
    <row r="24" spans="1:30" s="515" customFormat="1" ht="22.5" customHeight="1">
      <c r="A24" s="499"/>
      <c r="B24" s="350" t="s">
        <v>896</v>
      </c>
      <c r="C24" s="378"/>
      <c r="D24" s="378"/>
      <c r="E24" s="378"/>
      <c r="F24" s="500"/>
      <c r="G24" s="378"/>
      <c r="H24" s="378"/>
      <c r="I24" s="378"/>
      <c r="J24" s="500"/>
      <c r="K24" s="378">
        <v>9637</v>
      </c>
      <c r="L24" s="378">
        <v>9313</v>
      </c>
      <c r="M24" s="378">
        <v>9981</v>
      </c>
      <c r="N24" s="500">
        <v>9961</v>
      </c>
      <c r="O24" s="378"/>
      <c r="P24" s="378"/>
      <c r="Q24" s="378"/>
      <c r="R24" s="500"/>
      <c r="S24" s="378"/>
      <c r="T24" s="378"/>
      <c r="U24" s="378"/>
      <c r="V24" s="500"/>
      <c r="W24" s="378"/>
      <c r="X24" s="378"/>
      <c r="Y24" s="378"/>
      <c r="Z24" s="500"/>
      <c r="AA24" s="378">
        <f t="shared" si="54"/>
        <v>9637</v>
      </c>
      <c r="AB24" s="378">
        <f t="shared" si="54"/>
        <v>9313</v>
      </c>
      <c r="AC24" s="378">
        <f t="shared" si="54"/>
        <v>9981</v>
      </c>
      <c r="AD24" s="500">
        <f t="shared" si="54"/>
        <v>9961</v>
      </c>
    </row>
    <row r="25" spans="1:30" s="515" customFormat="1" ht="22.5" customHeight="1">
      <c r="A25" s="499"/>
      <c r="B25" s="350" t="s">
        <v>586</v>
      </c>
      <c r="C25" s="378"/>
      <c r="D25" s="378"/>
      <c r="E25" s="378"/>
      <c r="F25" s="500"/>
      <c r="G25" s="378"/>
      <c r="H25" s="378"/>
      <c r="I25" s="378"/>
      <c r="J25" s="500"/>
      <c r="K25" s="378">
        <v>808</v>
      </c>
      <c r="L25" s="378">
        <v>893</v>
      </c>
      <c r="M25" s="378">
        <v>797</v>
      </c>
      <c r="N25" s="500">
        <v>978</v>
      </c>
      <c r="O25" s="378"/>
      <c r="P25" s="378"/>
      <c r="Q25" s="378"/>
      <c r="R25" s="500"/>
      <c r="S25" s="378"/>
      <c r="T25" s="378"/>
      <c r="U25" s="378"/>
      <c r="V25" s="500"/>
      <c r="W25" s="378"/>
      <c r="X25" s="378"/>
      <c r="Y25" s="378"/>
      <c r="Z25" s="500"/>
      <c r="AA25" s="378">
        <f t="shared" si="54"/>
        <v>808</v>
      </c>
      <c r="AB25" s="378">
        <f t="shared" si="54"/>
        <v>893</v>
      </c>
      <c r="AC25" s="378">
        <f t="shared" si="54"/>
        <v>797</v>
      </c>
      <c r="AD25" s="500">
        <f t="shared" si="54"/>
        <v>978</v>
      </c>
    </row>
    <row r="26" spans="1:30" s="515" customFormat="1" ht="22.5" customHeight="1">
      <c r="A26" s="499"/>
      <c r="B26" s="350" t="s">
        <v>897</v>
      </c>
      <c r="C26" s="378">
        <v>36</v>
      </c>
      <c r="D26" s="378">
        <v>2</v>
      </c>
      <c r="E26" s="378">
        <v>4</v>
      </c>
      <c r="F26" s="500">
        <v>29</v>
      </c>
      <c r="G26" s="378"/>
      <c r="H26" s="378"/>
      <c r="I26" s="378"/>
      <c r="J26" s="500"/>
      <c r="K26" s="378">
        <v>1338</v>
      </c>
      <c r="L26" s="378">
        <v>2014</v>
      </c>
      <c r="M26" s="378">
        <v>2069</v>
      </c>
      <c r="N26" s="500">
        <v>2355</v>
      </c>
      <c r="O26" s="378"/>
      <c r="P26" s="378"/>
      <c r="Q26" s="378"/>
      <c r="R26" s="500"/>
      <c r="S26" s="378"/>
      <c r="T26" s="378"/>
      <c r="U26" s="378"/>
      <c r="V26" s="500"/>
      <c r="W26" s="378"/>
      <c r="X26" s="378"/>
      <c r="Y26" s="378"/>
      <c r="Z26" s="500"/>
      <c r="AA26" s="378">
        <f t="shared" si="54"/>
        <v>1374</v>
      </c>
      <c r="AB26" s="378">
        <f t="shared" si="54"/>
        <v>2016</v>
      </c>
      <c r="AC26" s="378">
        <f t="shared" si="54"/>
        <v>2073</v>
      </c>
      <c r="AD26" s="500">
        <f t="shared" si="54"/>
        <v>2384</v>
      </c>
    </row>
    <row r="27" spans="1:30" s="515" customFormat="1" ht="22.5" customHeight="1">
      <c r="A27" s="499"/>
      <c r="B27" s="350" t="s">
        <v>690</v>
      </c>
      <c r="C27" s="377">
        <f t="shared" ref="C27:D27" si="55">SUM(C23:C26)</f>
        <v>36</v>
      </c>
      <c r="D27" s="378">
        <f t="shared" si="55"/>
        <v>2</v>
      </c>
      <c r="E27" s="378">
        <f>SUM(E23:E26)</f>
        <v>4</v>
      </c>
      <c r="F27" s="500">
        <f>SUM(F23:F26)</f>
        <v>29</v>
      </c>
      <c r="G27" s="377">
        <f t="shared" ref="G27:AD27" si="56">SUM(G23:G26)</f>
        <v>0</v>
      </c>
      <c r="H27" s="378">
        <f t="shared" si="56"/>
        <v>0</v>
      </c>
      <c r="I27" s="378">
        <f t="shared" si="56"/>
        <v>0</v>
      </c>
      <c r="J27" s="500">
        <f t="shared" si="56"/>
        <v>0</v>
      </c>
      <c r="K27" s="377">
        <f t="shared" si="56"/>
        <v>19285</v>
      </c>
      <c r="L27" s="378">
        <f t="shared" si="56"/>
        <v>20148</v>
      </c>
      <c r="M27" s="378">
        <f t="shared" si="56"/>
        <v>19285</v>
      </c>
      <c r="N27" s="500">
        <f t="shared" si="56"/>
        <v>20147</v>
      </c>
      <c r="O27" s="377">
        <f t="shared" si="56"/>
        <v>0</v>
      </c>
      <c r="P27" s="378">
        <f t="shared" si="56"/>
        <v>0</v>
      </c>
      <c r="Q27" s="378">
        <f t="shared" si="56"/>
        <v>0</v>
      </c>
      <c r="R27" s="500">
        <f t="shared" si="56"/>
        <v>0</v>
      </c>
      <c r="S27" s="377">
        <f t="shared" si="56"/>
        <v>0</v>
      </c>
      <c r="T27" s="378">
        <f t="shared" si="56"/>
        <v>0</v>
      </c>
      <c r="U27" s="378">
        <f t="shared" si="56"/>
        <v>0</v>
      </c>
      <c r="V27" s="500">
        <f t="shared" si="56"/>
        <v>0</v>
      </c>
      <c r="W27" s="377">
        <f t="shared" si="56"/>
        <v>0</v>
      </c>
      <c r="X27" s="378">
        <f t="shared" si="56"/>
        <v>0</v>
      </c>
      <c r="Y27" s="378">
        <f t="shared" si="56"/>
        <v>0</v>
      </c>
      <c r="Z27" s="500">
        <f t="shared" si="56"/>
        <v>0</v>
      </c>
      <c r="AA27" s="377">
        <f t="shared" si="56"/>
        <v>19321</v>
      </c>
      <c r="AB27" s="378">
        <f t="shared" si="56"/>
        <v>20150</v>
      </c>
      <c r="AC27" s="378">
        <f t="shared" si="56"/>
        <v>19289</v>
      </c>
      <c r="AD27" s="500">
        <f t="shared" si="56"/>
        <v>20176</v>
      </c>
    </row>
    <row r="28" spans="1:30" s="515" customFormat="1" ht="22.5" customHeight="1">
      <c r="A28" s="499" t="s">
        <v>581</v>
      </c>
      <c r="B28" s="350" t="s">
        <v>898</v>
      </c>
      <c r="C28" s="378">
        <v>55</v>
      </c>
      <c r="D28" s="378">
        <v>28</v>
      </c>
      <c r="E28" s="378">
        <v>12</v>
      </c>
      <c r="F28" s="500">
        <v>17</v>
      </c>
      <c r="G28" s="378"/>
      <c r="H28" s="378"/>
      <c r="I28" s="378"/>
      <c r="J28" s="500"/>
      <c r="K28" s="378">
        <v>4192</v>
      </c>
      <c r="L28" s="378">
        <v>3996</v>
      </c>
      <c r="M28" s="378">
        <v>4163</v>
      </c>
      <c r="N28" s="500">
        <v>4521</v>
      </c>
      <c r="O28" s="378"/>
      <c r="P28" s="378"/>
      <c r="Q28" s="378"/>
      <c r="R28" s="500"/>
      <c r="S28" s="378"/>
      <c r="T28" s="378"/>
      <c r="U28" s="378"/>
      <c r="V28" s="500"/>
      <c r="W28" s="378"/>
      <c r="X28" s="378"/>
      <c r="Y28" s="378"/>
      <c r="Z28" s="500"/>
      <c r="AA28" s="378">
        <f>+W28+S28+O28+K28+G28+C28</f>
        <v>4247</v>
      </c>
      <c r="AB28" s="378">
        <f>+X28+T28+P28+L28+H28+D28</f>
        <v>4024</v>
      </c>
      <c r="AC28" s="378">
        <f>+Y28+U28+Q28+M28+I28+E28</f>
        <v>4175</v>
      </c>
      <c r="AD28" s="500">
        <f>+Z28+V28+R28+N28+J28+F28</f>
        <v>4538</v>
      </c>
    </row>
    <row r="29" spans="1:30" s="515" customFormat="1" ht="22.5" customHeight="1">
      <c r="A29" s="499"/>
      <c r="B29" s="303" t="s">
        <v>1351</v>
      </c>
      <c r="C29" s="378"/>
      <c r="D29" s="378"/>
      <c r="E29" s="378">
        <v>1</v>
      </c>
      <c r="F29" s="500"/>
      <c r="G29" s="378"/>
      <c r="H29" s="378"/>
      <c r="I29" s="378"/>
      <c r="J29" s="500"/>
      <c r="K29" s="378"/>
      <c r="L29" s="378">
        <v>299</v>
      </c>
      <c r="M29" s="378">
        <v>436</v>
      </c>
      <c r="N29" s="500">
        <v>502</v>
      </c>
      <c r="O29" s="378"/>
      <c r="P29" s="378"/>
      <c r="Q29" s="378"/>
      <c r="R29" s="500"/>
      <c r="S29" s="378"/>
      <c r="T29" s="378"/>
      <c r="U29" s="378"/>
      <c r="V29" s="500"/>
      <c r="W29" s="378"/>
      <c r="X29" s="378"/>
      <c r="Y29" s="378"/>
      <c r="Z29" s="500"/>
      <c r="AA29" s="378"/>
      <c r="AB29" s="378">
        <f>+X29+T29+P29+L29+H29+D29</f>
        <v>299</v>
      </c>
      <c r="AC29" s="378">
        <f>+Y29+U29+Q29+M29+I29+E29</f>
        <v>437</v>
      </c>
      <c r="AD29" s="500">
        <f>+Z29+V29+R29+N29+J29+F29</f>
        <v>502</v>
      </c>
    </row>
    <row r="30" spans="1:30" s="515" customFormat="1" ht="22.5" customHeight="1">
      <c r="A30" s="499"/>
      <c r="B30" s="254" t="s">
        <v>1478</v>
      </c>
      <c r="C30" s="378"/>
      <c r="D30" s="378"/>
      <c r="E30" s="378"/>
      <c r="F30" s="500"/>
      <c r="G30" s="378"/>
      <c r="H30" s="378"/>
      <c r="I30" s="378"/>
      <c r="J30" s="500"/>
      <c r="K30" s="378"/>
      <c r="L30" s="378"/>
      <c r="M30" s="378"/>
      <c r="N30" s="500"/>
      <c r="O30" s="378"/>
      <c r="P30" s="378"/>
      <c r="Q30" s="378"/>
      <c r="R30" s="500"/>
      <c r="S30" s="378"/>
      <c r="T30" s="378"/>
      <c r="U30" s="378"/>
      <c r="V30" s="500"/>
      <c r="W30" s="378"/>
      <c r="X30" s="378"/>
      <c r="Y30" s="378"/>
      <c r="Z30" s="500"/>
      <c r="AA30" s="378"/>
      <c r="AB30" s="378"/>
      <c r="AC30" s="378"/>
      <c r="AD30" s="500"/>
    </row>
    <row r="31" spans="1:30" s="515" customFormat="1" ht="22.5" customHeight="1">
      <c r="A31" s="499"/>
      <c r="B31" s="350" t="s">
        <v>1026</v>
      </c>
      <c r="C31" s="378"/>
      <c r="D31" s="378"/>
      <c r="E31" s="378"/>
      <c r="F31" s="500"/>
      <c r="G31" s="378"/>
      <c r="H31" s="378"/>
      <c r="I31" s="378"/>
      <c r="J31" s="500"/>
      <c r="K31" s="378"/>
      <c r="L31" s="378"/>
      <c r="M31" s="378"/>
      <c r="N31" s="500"/>
      <c r="O31" s="378"/>
      <c r="P31" s="378"/>
      <c r="Q31" s="378"/>
      <c r="R31" s="500"/>
      <c r="S31" s="378"/>
      <c r="T31" s="378"/>
      <c r="U31" s="378"/>
      <c r="V31" s="500"/>
      <c r="W31" s="378"/>
      <c r="X31" s="378"/>
      <c r="Y31" s="378"/>
      <c r="Z31" s="500"/>
      <c r="AA31" s="378">
        <f>+W31+S31+O31+K31+G31+C31</f>
        <v>0</v>
      </c>
      <c r="AB31" s="378">
        <f>+X31+T31+P31+L31+H31+D31</f>
        <v>0</v>
      </c>
      <c r="AC31" s="378">
        <f>+Y31+U31+Q31+M31+I31+E31</f>
        <v>0</v>
      </c>
      <c r="AD31" s="500">
        <f>+Z31+V31+R31+N31+J31+F31</f>
        <v>0</v>
      </c>
    </row>
    <row r="32" spans="1:30" s="515" customFormat="1" ht="22.5" customHeight="1">
      <c r="A32" s="499"/>
      <c r="B32" s="350" t="s">
        <v>690</v>
      </c>
      <c r="C32" s="378">
        <v>55</v>
      </c>
      <c r="D32" s="378">
        <v>28</v>
      </c>
      <c r="E32" s="378">
        <v>13</v>
      </c>
      <c r="F32" s="500">
        <f>SUM(F28:F31)</f>
        <v>17</v>
      </c>
      <c r="G32" s="378"/>
      <c r="H32" s="378"/>
      <c r="I32" s="378"/>
      <c r="J32" s="500">
        <f>SUM(J28:J31)</f>
        <v>0</v>
      </c>
      <c r="K32" s="378">
        <v>4192</v>
      </c>
      <c r="L32" s="378">
        <v>4295</v>
      </c>
      <c r="M32" s="378">
        <v>4599</v>
      </c>
      <c r="N32" s="500">
        <f>SUM(N28:N31)</f>
        <v>5023</v>
      </c>
      <c r="O32" s="378">
        <v>0</v>
      </c>
      <c r="P32" s="378">
        <v>0</v>
      </c>
      <c r="Q32" s="378">
        <v>0</v>
      </c>
      <c r="R32" s="500">
        <f>SUM(R28:R31)</f>
        <v>0</v>
      </c>
      <c r="S32" s="378">
        <v>0</v>
      </c>
      <c r="T32" s="378">
        <v>0</v>
      </c>
      <c r="U32" s="378">
        <v>0</v>
      </c>
      <c r="V32" s="500">
        <f>SUM(V28:V31)</f>
        <v>0</v>
      </c>
      <c r="W32" s="378"/>
      <c r="X32" s="378"/>
      <c r="Y32" s="378"/>
      <c r="Z32" s="500">
        <f>SUM(Z28:Z31)</f>
        <v>0</v>
      </c>
      <c r="AA32" s="378">
        <f>SUM(AA28:AA31)</f>
        <v>4247</v>
      </c>
      <c r="AB32" s="378">
        <f>SUM(AB28:AB31)</f>
        <v>4323</v>
      </c>
      <c r="AC32" s="378">
        <f>SUM(AC28:AC31)</f>
        <v>4612</v>
      </c>
      <c r="AD32" s="500">
        <f>SUM(AD28:AD31)</f>
        <v>5040</v>
      </c>
    </row>
    <row r="33" spans="1:30" s="515" customFormat="1" ht="22.5" customHeight="1">
      <c r="A33" s="499" t="s">
        <v>582</v>
      </c>
      <c r="B33" s="303" t="s">
        <v>698</v>
      </c>
      <c r="C33" s="378"/>
      <c r="D33" s="378"/>
      <c r="E33" s="378"/>
      <c r="F33" s="500"/>
      <c r="G33" s="378"/>
      <c r="H33" s="378"/>
      <c r="I33" s="378"/>
      <c r="J33" s="500"/>
      <c r="K33" s="378">
        <v>4874</v>
      </c>
      <c r="L33" s="378">
        <v>3762</v>
      </c>
      <c r="M33" s="378">
        <v>3953</v>
      </c>
      <c r="N33" s="500">
        <v>3908</v>
      </c>
      <c r="O33" s="378"/>
      <c r="P33" s="378"/>
      <c r="Q33" s="378"/>
      <c r="R33" s="500"/>
      <c r="S33" s="378"/>
      <c r="T33" s="378"/>
      <c r="U33" s="378"/>
      <c r="V33" s="500"/>
      <c r="W33" s="378"/>
      <c r="X33" s="378"/>
      <c r="Y33" s="378"/>
      <c r="Z33" s="500"/>
      <c r="AA33" s="378">
        <f t="shared" ref="AA33:AD35" si="57">+W33+S33+O33+K33+G33+C33</f>
        <v>4874</v>
      </c>
      <c r="AB33" s="378">
        <f t="shared" si="57"/>
        <v>3762</v>
      </c>
      <c r="AC33" s="378">
        <f t="shared" si="57"/>
        <v>3953</v>
      </c>
      <c r="AD33" s="500">
        <f t="shared" si="57"/>
        <v>3908</v>
      </c>
    </row>
    <row r="34" spans="1:30" s="515" customFormat="1" ht="22.5" customHeight="1">
      <c r="A34" s="499"/>
      <c r="B34" s="350" t="s">
        <v>900</v>
      </c>
      <c r="C34" s="378"/>
      <c r="D34" s="378">
        <v>42</v>
      </c>
      <c r="E34" s="378"/>
      <c r="F34" s="500"/>
      <c r="G34" s="378"/>
      <c r="H34" s="378"/>
      <c r="I34" s="378"/>
      <c r="J34" s="500"/>
      <c r="K34" s="378">
        <v>840</v>
      </c>
      <c r="L34" s="378">
        <v>775</v>
      </c>
      <c r="M34" s="378">
        <v>742</v>
      </c>
      <c r="N34" s="500">
        <v>761</v>
      </c>
      <c r="O34" s="378"/>
      <c r="P34" s="378"/>
      <c r="Q34" s="378"/>
      <c r="R34" s="500"/>
      <c r="S34" s="378"/>
      <c r="T34" s="378"/>
      <c r="U34" s="378"/>
      <c r="V34" s="500"/>
      <c r="W34" s="378"/>
      <c r="X34" s="378"/>
      <c r="Y34" s="378"/>
      <c r="Z34" s="500"/>
      <c r="AA34" s="378">
        <f t="shared" si="57"/>
        <v>840</v>
      </c>
      <c r="AB34" s="378">
        <f t="shared" si="57"/>
        <v>817</v>
      </c>
      <c r="AC34" s="378">
        <f t="shared" si="57"/>
        <v>742</v>
      </c>
      <c r="AD34" s="500">
        <f t="shared" si="57"/>
        <v>761</v>
      </c>
    </row>
    <row r="35" spans="1:30" s="515" customFormat="1" ht="22.5" customHeight="1">
      <c r="A35" s="499"/>
      <c r="B35" s="303" t="s">
        <v>1352</v>
      </c>
      <c r="C35" s="378"/>
      <c r="D35" s="378"/>
      <c r="E35" s="378"/>
      <c r="F35" s="500"/>
      <c r="G35" s="378"/>
      <c r="H35" s="378"/>
      <c r="I35" s="378"/>
      <c r="J35" s="500"/>
      <c r="K35" s="378"/>
      <c r="L35" s="378">
        <v>423</v>
      </c>
      <c r="M35" s="378">
        <v>413</v>
      </c>
      <c r="N35" s="500">
        <v>407</v>
      </c>
      <c r="O35" s="378"/>
      <c r="P35" s="378"/>
      <c r="Q35" s="378"/>
      <c r="R35" s="500"/>
      <c r="S35" s="378"/>
      <c r="T35" s="378"/>
      <c r="U35" s="378"/>
      <c r="V35" s="500"/>
      <c r="W35" s="378"/>
      <c r="X35" s="378"/>
      <c r="Y35" s="378"/>
      <c r="Z35" s="500"/>
      <c r="AA35" s="378"/>
      <c r="AB35" s="378">
        <f t="shared" si="57"/>
        <v>423</v>
      </c>
      <c r="AC35" s="378">
        <f t="shared" si="57"/>
        <v>413</v>
      </c>
      <c r="AD35" s="500">
        <f>+Z35+V35+R35+N35+J35+F35</f>
        <v>407</v>
      </c>
    </row>
    <row r="36" spans="1:30" s="515" customFormat="1" ht="22.5" customHeight="1">
      <c r="A36" s="499"/>
      <c r="B36" s="350" t="s">
        <v>690</v>
      </c>
      <c r="C36" s="377">
        <f>SUM(C33:C35)</f>
        <v>0</v>
      </c>
      <c r="D36" s="378">
        <f t="shared" ref="D36:AD36" si="58">SUM(D33:D35)</f>
        <v>42</v>
      </c>
      <c r="E36" s="378">
        <f t="shared" si="58"/>
        <v>0</v>
      </c>
      <c r="F36" s="378">
        <f t="shared" si="58"/>
        <v>0</v>
      </c>
      <c r="G36" s="377">
        <f t="shared" si="58"/>
        <v>0</v>
      </c>
      <c r="H36" s="378">
        <f t="shared" si="58"/>
        <v>0</v>
      </c>
      <c r="I36" s="378">
        <f t="shared" si="58"/>
        <v>0</v>
      </c>
      <c r="J36" s="378">
        <f t="shared" si="58"/>
        <v>0</v>
      </c>
      <c r="K36" s="377">
        <f t="shared" si="58"/>
        <v>5714</v>
      </c>
      <c r="L36" s="378">
        <f t="shared" si="58"/>
        <v>4960</v>
      </c>
      <c r="M36" s="378">
        <f t="shared" si="58"/>
        <v>5108</v>
      </c>
      <c r="N36" s="378">
        <f t="shared" si="58"/>
        <v>5076</v>
      </c>
      <c r="O36" s="377">
        <f t="shared" si="58"/>
        <v>0</v>
      </c>
      <c r="P36" s="378">
        <f t="shared" si="58"/>
        <v>0</v>
      </c>
      <c r="Q36" s="378">
        <f t="shared" si="58"/>
        <v>0</v>
      </c>
      <c r="R36" s="378">
        <f t="shared" si="58"/>
        <v>0</v>
      </c>
      <c r="S36" s="377">
        <f t="shared" si="58"/>
        <v>0</v>
      </c>
      <c r="T36" s="378">
        <f t="shared" si="58"/>
        <v>0</v>
      </c>
      <c r="U36" s="378">
        <f t="shared" si="58"/>
        <v>0</v>
      </c>
      <c r="V36" s="378">
        <f t="shared" si="58"/>
        <v>0</v>
      </c>
      <c r="W36" s="377">
        <f t="shared" si="58"/>
        <v>0</v>
      </c>
      <c r="X36" s="378">
        <f t="shared" si="58"/>
        <v>0</v>
      </c>
      <c r="Y36" s="378">
        <f t="shared" si="58"/>
        <v>0</v>
      </c>
      <c r="Z36" s="378">
        <f t="shared" si="58"/>
        <v>0</v>
      </c>
      <c r="AA36" s="377">
        <f t="shared" si="58"/>
        <v>5714</v>
      </c>
      <c r="AB36" s="378">
        <f t="shared" si="58"/>
        <v>5002</v>
      </c>
      <c r="AC36" s="378">
        <f t="shared" si="58"/>
        <v>5108</v>
      </c>
      <c r="AD36" s="500">
        <f t="shared" si="58"/>
        <v>5076</v>
      </c>
    </row>
    <row r="37" spans="1:30" s="515" customFormat="1" ht="22.5" customHeight="1">
      <c r="A37" s="499" t="s">
        <v>583</v>
      </c>
      <c r="B37" s="350" t="s">
        <v>901</v>
      </c>
      <c r="C37" s="378"/>
      <c r="D37" s="378">
        <v>6</v>
      </c>
      <c r="E37" s="378">
        <v>3</v>
      </c>
      <c r="F37" s="500">
        <v>6</v>
      </c>
      <c r="G37" s="378"/>
      <c r="H37" s="378"/>
      <c r="I37" s="378"/>
      <c r="J37" s="500"/>
      <c r="K37" s="378">
        <v>2747</v>
      </c>
      <c r="L37" s="378">
        <v>3061</v>
      </c>
      <c r="M37" s="378">
        <v>2945</v>
      </c>
      <c r="N37" s="500">
        <v>2618</v>
      </c>
      <c r="O37" s="378"/>
      <c r="P37" s="378"/>
      <c r="Q37" s="378"/>
      <c r="R37" s="500"/>
      <c r="S37" s="378"/>
      <c r="T37" s="378"/>
      <c r="U37" s="378"/>
      <c r="V37" s="500"/>
      <c r="W37" s="378"/>
      <c r="X37" s="378"/>
      <c r="Y37" s="378"/>
      <c r="Z37" s="500"/>
      <c r="AA37" s="378">
        <f t="shared" ref="AA37:AD41" si="59">+W37+S37+O37+K37+G37+C37</f>
        <v>2747</v>
      </c>
      <c r="AB37" s="378">
        <f t="shared" si="59"/>
        <v>3067</v>
      </c>
      <c r="AC37" s="378">
        <f t="shared" si="59"/>
        <v>2948</v>
      </c>
      <c r="AD37" s="500">
        <f t="shared" si="59"/>
        <v>2624</v>
      </c>
    </row>
    <row r="38" spans="1:30" s="515" customFormat="1" ht="22.5" customHeight="1">
      <c r="A38" s="499" t="s">
        <v>1027</v>
      </c>
      <c r="B38" s="350" t="s">
        <v>902</v>
      </c>
      <c r="C38" s="378"/>
      <c r="D38" s="378"/>
      <c r="E38" s="378"/>
      <c r="F38" s="500"/>
      <c r="G38" s="378"/>
      <c r="H38" s="378"/>
      <c r="I38" s="378"/>
      <c r="J38" s="500"/>
      <c r="K38" s="378">
        <v>10388</v>
      </c>
      <c r="L38" s="378">
        <v>10929</v>
      </c>
      <c r="M38" s="378">
        <v>11207</v>
      </c>
      <c r="N38" s="500">
        <v>10978</v>
      </c>
      <c r="O38" s="378"/>
      <c r="P38" s="378"/>
      <c r="Q38" s="378"/>
      <c r="R38" s="500"/>
      <c r="S38" s="378"/>
      <c r="T38" s="378"/>
      <c r="U38" s="378"/>
      <c r="V38" s="500"/>
      <c r="W38" s="378"/>
      <c r="X38" s="378"/>
      <c r="Y38" s="378"/>
      <c r="Z38" s="500"/>
      <c r="AA38" s="378">
        <f t="shared" si="59"/>
        <v>10388</v>
      </c>
      <c r="AB38" s="378">
        <f t="shared" si="59"/>
        <v>10929</v>
      </c>
      <c r="AC38" s="378">
        <f t="shared" si="59"/>
        <v>11207</v>
      </c>
      <c r="AD38" s="500">
        <f t="shared" si="59"/>
        <v>10978</v>
      </c>
    </row>
    <row r="39" spans="1:30" s="515" customFormat="1" ht="22.5" customHeight="1">
      <c r="A39" s="499"/>
      <c r="B39" s="254" t="s">
        <v>1062</v>
      </c>
      <c r="C39" s="378"/>
      <c r="D39" s="378"/>
      <c r="E39" s="378"/>
      <c r="F39" s="500"/>
      <c r="G39" s="378"/>
      <c r="H39" s="378"/>
      <c r="I39" s="378"/>
      <c r="J39" s="500"/>
      <c r="K39" s="378"/>
      <c r="L39" s="378"/>
      <c r="M39" s="378"/>
      <c r="N39" s="500"/>
      <c r="O39" s="378"/>
      <c r="P39" s="378"/>
      <c r="Q39" s="378"/>
      <c r="R39" s="500"/>
      <c r="S39" s="378"/>
      <c r="T39" s="378"/>
      <c r="U39" s="378"/>
      <c r="V39" s="500"/>
      <c r="W39" s="378"/>
      <c r="X39" s="378"/>
      <c r="Y39" s="378"/>
      <c r="Z39" s="500"/>
      <c r="AA39" s="378"/>
      <c r="AB39" s="378"/>
      <c r="AC39" s="378"/>
      <c r="AD39" s="500"/>
    </row>
    <row r="40" spans="1:30" s="515" customFormat="1" ht="22.5" customHeight="1">
      <c r="A40" s="499" t="s">
        <v>585</v>
      </c>
      <c r="B40" s="350" t="s">
        <v>903</v>
      </c>
      <c r="C40" s="378"/>
      <c r="D40" s="378">
        <v>134</v>
      </c>
      <c r="E40" s="378">
        <v>4</v>
      </c>
      <c r="F40" s="500">
        <v>3</v>
      </c>
      <c r="G40" s="378"/>
      <c r="H40" s="378"/>
      <c r="I40" s="378"/>
      <c r="J40" s="500"/>
      <c r="K40" s="378">
        <v>5155</v>
      </c>
      <c r="L40" s="378">
        <v>3985</v>
      </c>
      <c r="M40" s="378">
        <v>3747</v>
      </c>
      <c r="N40" s="500">
        <v>4397</v>
      </c>
      <c r="O40" s="378"/>
      <c r="P40" s="378"/>
      <c r="Q40" s="378"/>
      <c r="R40" s="500"/>
      <c r="S40" s="378"/>
      <c r="T40" s="378"/>
      <c r="U40" s="378"/>
      <c r="V40" s="500"/>
      <c r="W40" s="378"/>
      <c r="X40" s="378"/>
      <c r="Y40" s="378"/>
      <c r="Z40" s="500"/>
      <c r="AA40" s="378">
        <f t="shared" si="59"/>
        <v>5155</v>
      </c>
      <c r="AB40" s="378">
        <f t="shared" si="59"/>
        <v>4119</v>
      </c>
      <c r="AC40" s="378">
        <f t="shared" si="59"/>
        <v>3751</v>
      </c>
      <c r="AD40" s="500">
        <f t="shared" si="59"/>
        <v>4400</v>
      </c>
    </row>
    <row r="41" spans="1:30" s="515" customFormat="1" ht="22.5" customHeight="1">
      <c r="A41" s="499"/>
      <c r="B41" s="303" t="s">
        <v>1343</v>
      </c>
      <c r="C41" s="378"/>
      <c r="D41" s="378"/>
      <c r="E41" s="378">
        <v>51</v>
      </c>
      <c r="F41" s="500">
        <v>8</v>
      </c>
      <c r="G41" s="378"/>
      <c r="H41" s="378"/>
      <c r="I41" s="378"/>
      <c r="J41" s="500"/>
      <c r="K41" s="378"/>
      <c r="L41" s="378">
        <v>706</v>
      </c>
      <c r="M41" s="378">
        <v>607</v>
      </c>
      <c r="N41" s="500">
        <v>532</v>
      </c>
      <c r="O41" s="378"/>
      <c r="P41" s="378"/>
      <c r="Q41" s="378"/>
      <c r="R41" s="500"/>
      <c r="S41" s="378"/>
      <c r="T41" s="378"/>
      <c r="U41" s="378"/>
      <c r="V41" s="500"/>
      <c r="W41" s="378"/>
      <c r="X41" s="378"/>
      <c r="Y41" s="378"/>
      <c r="Z41" s="500"/>
      <c r="AA41" s="378"/>
      <c r="AB41" s="378">
        <f t="shared" si="59"/>
        <v>706</v>
      </c>
      <c r="AC41" s="378">
        <f t="shared" si="59"/>
        <v>658</v>
      </c>
      <c r="AD41" s="500">
        <f>+Z41+V41+R41+N41+J41+F41</f>
        <v>540</v>
      </c>
    </row>
    <row r="42" spans="1:30" s="515" customFormat="1" ht="22.5" customHeight="1">
      <c r="A42" s="499"/>
      <c r="B42" s="350" t="s">
        <v>690</v>
      </c>
      <c r="C42" s="378"/>
      <c r="D42" s="378">
        <v>134</v>
      </c>
      <c r="E42" s="378">
        <v>55</v>
      </c>
      <c r="F42" s="500">
        <f>SUM(F40:F41)</f>
        <v>11</v>
      </c>
      <c r="G42" s="378"/>
      <c r="H42" s="378"/>
      <c r="I42" s="378"/>
      <c r="J42" s="500">
        <f>SUM(J40:J41)</f>
        <v>0</v>
      </c>
      <c r="K42" s="378"/>
      <c r="L42" s="378">
        <v>4691</v>
      </c>
      <c r="M42" s="378">
        <v>4354</v>
      </c>
      <c r="N42" s="500">
        <f>SUM(N40:N41)</f>
        <v>4929</v>
      </c>
      <c r="O42" s="378"/>
      <c r="P42" s="378"/>
      <c r="Q42" s="378"/>
      <c r="R42" s="500">
        <f>SUM(R40:R41)</f>
        <v>0</v>
      </c>
      <c r="S42" s="378"/>
      <c r="T42" s="378"/>
      <c r="U42" s="378"/>
      <c r="V42" s="500">
        <f>SUM(V40:V41)</f>
        <v>0</v>
      </c>
      <c r="W42" s="378"/>
      <c r="X42" s="378"/>
      <c r="Y42" s="378"/>
      <c r="Z42" s="500">
        <f>SUM(Z40:Z41)</f>
        <v>0</v>
      </c>
      <c r="AA42" s="378">
        <f>SUM(AA40:AA41)</f>
        <v>5155</v>
      </c>
      <c r="AB42" s="378">
        <f>SUM(AB40:AB41)</f>
        <v>4825</v>
      </c>
      <c r="AC42" s="378">
        <f>SUM(AC40:AC41)</f>
        <v>4409</v>
      </c>
      <c r="AD42" s="500">
        <f>SUM(AD40:AD41)</f>
        <v>4940</v>
      </c>
    </row>
    <row r="43" spans="1:30" s="6" customFormat="1" ht="22.5" customHeight="1">
      <c r="A43" s="509" t="s">
        <v>1028</v>
      </c>
      <c r="B43" s="505"/>
      <c r="C43" s="506">
        <f t="shared" ref="C43:AA43" si="60">SUM(C36:C41)+C27+C32</f>
        <v>91</v>
      </c>
      <c r="D43" s="507">
        <f>+D27+D32+D36+D37+D38+D42+D39</f>
        <v>212</v>
      </c>
      <c r="E43" s="507">
        <f>+E27+E32+E36+E37+E38+E42+E39</f>
        <v>75</v>
      </c>
      <c r="F43" s="508">
        <f>+F27+F32+F36+F37+F38+F42+F39</f>
        <v>63</v>
      </c>
      <c r="G43" s="506">
        <f t="shared" si="60"/>
        <v>0</v>
      </c>
      <c r="H43" s="507">
        <f t="shared" ref="H43:J43" si="61">+H27+H32+H36+H37+H38+H42+H39</f>
        <v>0</v>
      </c>
      <c r="I43" s="507">
        <f t="shared" si="61"/>
        <v>0</v>
      </c>
      <c r="J43" s="508">
        <f t="shared" si="61"/>
        <v>0</v>
      </c>
      <c r="K43" s="506">
        <f t="shared" si="60"/>
        <v>47481</v>
      </c>
      <c r="L43" s="507">
        <f t="shared" ref="L43:N43" si="62">+L27+L32+L36+L37+L38+L42+L39</f>
        <v>48084</v>
      </c>
      <c r="M43" s="507">
        <f t="shared" si="62"/>
        <v>47498</v>
      </c>
      <c r="N43" s="508">
        <f t="shared" si="62"/>
        <v>48771</v>
      </c>
      <c r="O43" s="506">
        <f t="shared" si="60"/>
        <v>0</v>
      </c>
      <c r="P43" s="507">
        <f t="shared" ref="P43:R43" si="63">+P27+P32+P36+P37+P38+P42+P39</f>
        <v>0</v>
      </c>
      <c r="Q43" s="507">
        <f t="shared" si="63"/>
        <v>0</v>
      </c>
      <c r="R43" s="508">
        <f t="shared" si="63"/>
        <v>0</v>
      </c>
      <c r="S43" s="506">
        <f t="shared" si="60"/>
        <v>0</v>
      </c>
      <c r="T43" s="507">
        <f t="shared" ref="T43:V43" si="64">+T27+T32+T36+T37+T38+T42+T39</f>
        <v>0</v>
      </c>
      <c r="U43" s="507">
        <f t="shared" si="64"/>
        <v>0</v>
      </c>
      <c r="V43" s="508">
        <f t="shared" si="64"/>
        <v>0</v>
      </c>
      <c r="W43" s="506">
        <f t="shared" si="60"/>
        <v>0</v>
      </c>
      <c r="X43" s="507">
        <f t="shared" ref="X43:Z43" si="65">+X27+X32+X36+X37+X38+X42+X39</f>
        <v>0</v>
      </c>
      <c r="Y43" s="507">
        <f t="shared" si="65"/>
        <v>0</v>
      </c>
      <c r="Z43" s="508">
        <f t="shared" si="65"/>
        <v>0</v>
      </c>
      <c r="AA43" s="506">
        <f t="shared" si="60"/>
        <v>47572</v>
      </c>
      <c r="AB43" s="507">
        <f t="shared" ref="AB43:AD43" si="66">+AB27+AB32+AB36+AB37+AB38+AB42+AB39</f>
        <v>48296</v>
      </c>
      <c r="AC43" s="507">
        <f t="shared" si="66"/>
        <v>47573</v>
      </c>
      <c r="AD43" s="508">
        <f t="shared" si="66"/>
        <v>48834</v>
      </c>
    </row>
    <row r="44" spans="1:30" s="515" customFormat="1" ht="22.5" customHeight="1">
      <c r="A44" s="1237" t="s">
        <v>706</v>
      </c>
      <c r="B44" s="1239"/>
      <c r="C44" s="510">
        <f t="shared" ref="C44:AD44" si="67">+C22+C43</f>
        <v>569</v>
      </c>
      <c r="D44" s="511">
        <f t="shared" si="67"/>
        <v>415</v>
      </c>
      <c r="E44" s="511">
        <f t="shared" si="67"/>
        <v>463</v>
      </c>
      <c r="F44" s="512">
        <f t="shared" si="67"/>
        <v>196</v>
      </c>
      <c r="G44" s="511">
        <f t="shared" si="67"/>
        <v>0</v>
      </c>
      <c r="H44" s="511">
        <f t="shared" si="67"/>
        <v>0</v>
      </c>
      <c r="I44" s="511">
        <f t="shared" si="67"/>
        <v>0</v>
      </c>
      <c r="J44" s="512">
        <f t="shared" si="67"/>
        <v>0</v>
      </c>
      <c r="K44" s="510">
        <f t="shared" si="67"/>
        <v>78338</v>
      </c>
      <c r="L44" s="511">
        <f t="shared" si="67"/>
        <v>77964</v>
      </c>
      <c r="M44" s="511">
        <f t="shared" si="67"/>
        <v>75029</v>
      </c>
      <c r="N44" s="512">
        <f t="shared" si="67"/>
        <v>76929</v>
      </c>
      <c r="O44" s="511">
        <f t="shared" si="67"/>
        <v>0</v>
      </c>
      <c r="P44" s="511">
        <f t="shared" si="67"/>
        <v>0</v>
      </c>
      <c r="Q44" s="511">
        <f t="shared" si="67"/>
        <v>0</v>
      </c>
      <c r="R44" s="512">
        <f t="shared" si="67"/>
        <v>0</v>
      </c>
      <c r="S44" s="510">
        <f t="shared" si="67"/>
        <v>0</v>
      </c>
      <c r="T44" s="511">
        <f t="shared" si="67"/>
        <v>0</v>
      </c>
      <c r="U44" s="511">
        <f t="shared" si="67"/>
        <v>0</v>
      </c>
      <c r="V44" s="512">
        <f t="shared" si="67"/>
        <v>0</v>
      </c>
      <c r="W44" s="511">
        <f t="shared" si="67"/>
        <v>0</v>
      </c>
      <c r="X44" s="511">
        <f t="shared" si="67"/>
        <v>0</v>
      </c>
      <c r="Y44" s="511">
        <f t="shared" si="67"/>
        <v>0</v>
      </c>
      <c r="Z44" s="512">
        <f t="shared" si="67"/>
        <v>0</v>
      </c>
      <c r="AA44" s="511">
        <f t="shared" si="67"/>
        <v>78907</v>
      </c>
      <c r="AB44" s="511">
        <f t="shared" si="67"/>
        <v>78379</v>
      </c>
      <c r="AC44" s="511">
        <f t="shared" si="67"/>
        <v>75492</v>
      </c>
      <c r="AD44" s="512">
        <f t="shared" si="67"/>
        <v>77125</v>
      </c>
    </row>
    <row r="45" spans="1:30">
      <c r="C45" s="517"/>
      <c r="D45" s="517"/>
      <c r="E45" s="517"/>
      <c r="F45" s="517"/>
      <c r="G45" s="517"/>
      <c r="H45" s="517"/>
      <c r="I45" s="517"/>
      <c r="J45" s="517"/>
      <c r="K45" s="517"/>
      <c r="L45" s="517"/>
      <c r="M45" s="517"/>
      <c r="N45" s="517"/>
      <c r="O45" s="517"/>
      <c r="P45" s="517"/>
      <c r="Q45" s="517"/>
      <c r="R45" s="517"/>
      <c r="S45" s="517"/>
      <c r="T45" s="517"/>
      <c r="U45" s="517"/>
      <c r="V45" s="517"/>
      <c r="W45" s="517"/>
      <c r="X45" s="517"/>
      <c r="Y45" s="517"/>
      <c r="Z45" s="517"/>
      <c r="AA45" s="517"/>
      <c r="AB45" s="517"/>
      <c r="AC45" s="517"/>
      <c r="AD45" s="507"/>
    </row>
    <row r="46" spans="1:30">
      <c r="C46" s="517"/>
      <c r="D46" s="517"/>
      <c r="E46" s="517"/>
      <c r="F46" s="520"/>
      <c r="G46" s="520"/>
      <c r="H46" s="520"/>
      <c r="I46" s="520"/>
      <c r="J46" s="520"/>
      <c r="K46" s="520"/>
      <c r="L46" s="520"/>
      <c r="M46" s="520"/>
      <c r="N46" s="520"/>
      <c r="O46" s="520"/>
      <c r="P46" s="520"/>
      <c r="Q46" s="520"/>
      <c r="R46" s="520"/>
      <c r="S46" s="520"/>
      <c r="T46" s="520"/>
      <c r="U46" s="520"/>
      <c r="V46" s="520"/>
      <c r="W46" s="520"/>
      <c r="X46" s="520"/>
      <c r="Y46" s="520"/>
      <c r="Z46" s="520"/>
      <c r="AA46" s="520"/>
      <c r="AB46" s="520"/>
      <c r="AC46" s="520"/>
      <c r="AD46" s="520"/>
    </row>
    <row r="47" spans="1:30">
      <c r="C47" s="517"/>
      <c r="D47" s="517"/>
      <c r="E47" s="517"/>
      <c r="F47" s="520"/>
      <c r="G47" s="520"/>
      <c r="H47" s="520"/>
      <c r="I47" s="520"/>
      <c r="J47" s="520"/>
      <c r="K47" s="520"/>
      <c r="L47" s="520"/>
      <c r="M47" s="520"/>
      <c r="N47" s="520"/>
      <c r="O47" s="520"/>
      <c r="P47" s="520"/>
      <c r="Q47" s="520"/>
      <c r="R47" s="520"/>
      <c r="S47" s="520"/>
      <c r="T47" s="520"/>
      <c r="U47" s="520"/>
      <c r="V47" s="520"/>
      <c r="W47" s="520"/>
      <c r="X47" s="520"/>
      <c r="Y47" s="520"/>
      <c r="Z47" s="520"/>
      <c r="AA47" s="520"/>
      <c r="AB47" s="520"/>
      <c r="AC47" s="520"/>
      <c r="AD47" s="520"/>
    </row>
    <row r="48" spans="1:30">
      <c r="C48" s="517"/>
      <c r="D48" s="517"/>
      <c r="E48" s="517"/>
      <c r="F48" s="520"/>
      <c r="G48" s="520"/>
      <c r="H48" s="520"/>
      <c r="I48" s="520"/>
      <c r="J48" s="520"/>
      <c r="K48" s="520"/>
      <c r="L48" s="520"/>
      <c r="M48" s="520"/>
      <c r="N48" s="520"/>
      <c r="O48" s="520"/>
      <c r="P48" s="520"/>
      <c r="Q48" s="520"/>
      <c r="R48" s="520"/>
      <c r="S48" s="520"/>
      <c r="T48" s="520"/>
      <c r="U48" s="520"/>
      <c r="V48" s="520"/>
      <c r="W48" s="520"/>
      <c r="X48" s="520"/>
      <c r="Y48" s="520"/>
      <c r="Z48" s="520"/>
      <c r="AA48" s="520"/>
      <c r="AB48" s="520"/>
      <c r="AC48" s="520"/>
      <c r="AD48" s="520"/>
    </row>
    <row r="49" spans="3:30">
      <c r="C49" s="517"/>
      <c r="D49" s="517"/>
      <c r="E49" s="517"/>
      <c r="F49" s="520"/>
      <c r="G49" s="517"/>
      <c r="H49" s="517"/>
      <c r="I49" s="517"/>
      <c r="J49" s="520"/>
      <c r="K49" s="517"/>
      <c r="L49" s="517"/>
      <c r="M49" s="517"/>
      <c r="N49" s="520"/>
      <c r="O49" s="517"/>
      <c r="P49" s="517"/>
      <c r="Q49" s="517"/>
      <c r="R49" s="520"/>
      <c r="S49" s="517"/>
      <c r="T49" s="517"/>
      <c r="U49" s="517"/>
      <c r="V49" s="520"/>
      <c r="W49" s="517"/>
      <c r="X49" s="517"/>
      <c r="Y49" s="517"/>
      <c r="Z49" s="520"/>
      <c r="AA49" s="517"/>
      <c r="AB49" s="517"/>
      <c r="AC49" s="517"/>
      <c r="AD49" s="520"/>
    </row>
    <row r="50" spans="3:30">
      <c r="C50" s="517"/>
      <c r="D50" s="517"/>
      <c r="E50" s="517"/>
      <c r="F50" s="517"/>
      <c r="G50" s="517"/>
      <c r="H50" s="517"/>
      <c r="I50" s="517"/>
      <c r="J50" s="517"/>
      <c r="K50" s="517"/>
      <c r="L50" s="517"/>
      <c r="M50" s="517"/>
      <c r="N50" s="517"/>
      <c r="O50" s="517"/>
      <c r="P50" s="517"/>
      <c r="Q50" s="517"/>
      <c r="R50" s="517"/>
      <c r="S50" s="517"/>
      <c r="T50" s="517"/>
      <c r="U50" s="517"/>
      <c r="V50" s="517"/>
      <c r="W50" s="517"/>
      <c r="X50" s="517"/>
      <c r="Y50" s="517"/>
      <c r="Z50" s="517"/>
      <c r="AA50" s="517"/>
      <c r="AB50" s="517"/>
      <c r="AC50" s="517"/>
      <c r="AD50" s="517"/>
    </row>
    <row r="51" spans="3:30">
      <c r="C51" s="517"/>
      <c r="D51" s="517"/>
      <c r="E51" s="517"/>
      <c r="F51" s="517"/>
      <c r="G51" s="517"/>
      <c r="H51" s="517"/>
      <c r="I51" s="517"/>
      <c r="J51" s="517"/>
      <c r="K51" s="517"/>
      <c r="L51" s="517"/>
      <c r="M51" s="517"/>
      <c r="N51" s="517"/>
      <c r="O51" s="517"/>
      <c r="P51" s="517"/>
      <c r="Q51" s="517"/>
      <c r="R51" s="517"/>
      <c r="S51" s="517"/>
      <c r="T51" s="517"/>
      <c r="U51" s="517"/>
      <c r="V51" s="517"/>
      <c r="W51" s="517"/>
      <c r="X51" s="517"/>
      <c r="Y51" s="517"/>
      <c r="Z51" s="517"/>
      <c r="AA51" s="517"/>
      <c r="AB51" s="517"/>
      <c r="AC51" s="517"/>
      <c r="AD51" s="517"/>
    </row>
    <row r="52" spans="3:30">
      <c r="C52" s="517"/>
      <c r="D52" s="517"/>
      <c r="E52" s="517"/>
      <c r="F52" s="517"/>
      <c r="G52" s="517"/>
      <c r="H52" s="517"/>
      <c r="I52" s="517"/>
      <c r="J52" s="517"/>
      <c r="K52" s="517"/>
      <c r="L52" s="517"/>
      <c r="M52" s="517"/>
      <c r="N52" s="517"/>
      <c r="O52" s="517"/>
      <c r="P52" s="517"/>
      <c r="Q52" s="517"/>
      <c r="R52" s="517"/>
      <c r="S52" s="517"/>
      <c r="T52" s="517"/>
      <c r="U52" s="517"/>
      <c r="V52" s="517"/>
      <c r="W52" s="517"/>
      <c r="X52" s="517"/>
      <c r="Y52" s="517"/>
      <c r="Z52" s="517"/>
      <c r="AA52" s="517"/>
      <c r="AB52" s="517"/>
      <c r="AC52" s="517"/>
      <c r="AD52" s="517"/>
    </row>
    <row r="53" spans="3:30">
      <c r="C53" s="517"/>
      <c r="D53" s="517"/>
      <c r="E53" s="517"/>
      <c r="F53" s="517"/>
      <c r="G53" s="517"/>
      <c r="H53" s="517"/>
      <c r="I53" s="517"/>
      <c r="J53" s="517"/>
      <c r="K53" s="517"/>
      <c r="L53" s="517"/>
      <c r="M53" s="517"/>
      <c r="N53" s="517"/>
      <c r="O53" s="517"/>
      <c r="P53" s="517"/>
      <c r="Q53" s="517"/>
      <c r="R53" s="517"/>
      <c r="S53" s="517"/>
      <c r="T53" s="517"/>
      <c r="U53" s="517"/>
      <c r="V53" s="517"/>
      <c r="W53" s="517"/>
      <c r="X53" s="517"/>
      <c r="Y53" s="517"/>
      <c r="Z53" s="517"/>
      <c r="AA53" s="517"/>
      <c r="AB53" s="517"/>
      <c r="AC53" s="517"/>
      <c r="AD53" s="517"/>
    </row>
    <row r="54" spans="3:30">
      <c r="C54" s="517"/>
      <c r="D54" s="517"/>
      <c r="E54" s="517"/>
      <c r="F54" s="517"/>
      <c r="G54" s="517"/>
      <c r="H54" s="517"/>
      <c r="I54" s="517"/>
      <c r="J54" s="517"/>
      <c r="K54" s="517"/>
      <c r="L54" s="517"/>
      <c r="M54" s="517"/>
      <c r="N54" s="517"/>
      <c r="O54" s="517"/>
      <c r="P54" s="517"/>
      <c r="Q54" s="517"/>
      <c r="R54" s="517"/>
      <c r="S54" s="517"/>
      <c r="T54" s="517"/>
      <c r="U54" s="517"/>
      <c r="V54" s="517"/>
      <c r="W54" s="517"/>
      <c r="X54" s="517"/>
      <c r="Y54" s="517"/>
      <c r="Z54" s="517"/>
      <c r="AA54" s="517"/>
      <c r="AB54" s="517"/>
      <c r="AC54" s="517"/>
      <c r="AD54" s="517"/>
    </row>
    <row r="55" spans="3:30">
      <c r="C55" s="517"/>
      <c r="D55" s="517"/>
      <c r="E55" s="517"/>
      <c r="F55" s="517"/>
      <c r="G55" s="517"/>
      <c r="H55" s="517"/>
      <c r="I55" s="517"/>
      <c r="J55" s="517"/>
      <c r="K55" s="517"/>
      <c r="L55" s="517"/>
      <c r="M55" s="517"/>
      <c r="N55" s="517"/>
      <c r="O55" s="517"/>
      <c r="P55" s="517"/>
      <c r="Q55" s="517"/>
      <c r="R55" s="517"/>
      <c r="S55" s="517"/>
      <c r="T55" s="517"/>
      <c r="U55" s="517"/>
      <c r="V55" s="517"/>
      <c r="W55" s="517"/>
      <c r="X55" s="517"/>
      <c r="Y55" s="517"/>
      <c r="Z55" s="517"/>
      <c r="AA55" s="517"/>
      <c r="AB55" s="517"/>
      <c r="AC55" s="517"/>
      <c r="AD55" s="517"/>
    </row>
    <row r="56" spans="3:30">
      <c r="C56" s="517"/>
      <c r="D56" s="517"/>
      <c r="E56" s="517"/>
      <c r="F56" s="517"/>
      <c r="G56" s="517"/>
      <c r="H56" s="517"/>
      <c r="I56" s="517"/>
      <c r="J56" s="517"/>
      <c r="K56" s="517"/>
      <c r="L56" s="517"/>
      <c r="M56" s="517"/>
      <c r="N56" s="517"/>
      <c r="O56" s="517"/>
      <c r="P56" s="517"/>
      <c r="Q56" s="517"/>
      <c r="R56" s="517"/>
      <c r="S56" s="517"/>
      <c r="T56" s="517"/>
      <c r="U56" s="517"/>
      <c r="V56" s="517"/>
      <c r="W56" s="517"/>
      <c r="X56" s="517"/>
      <c r="Y56" s="517"/>
      <c r="Z56" s="517"/>
      <c r="AA56" s="517"/>
      <c r="AB56" s="517"/>
      <c r="AC56" s="517"/>
      <c r="AD56" s="517"/>
    </row>
    <row r="57" spans="3:30">
      <c r="C57" s="517"/>
      <c r="D57" s="517"/>
      <c r="E57" s="517"/>
      <c r="F57" s="517"/>
      <c r="G57" s="517"/>
      <c r="H57" s="517"/>
      <c r="I57" s="517"/>
      <c r="J57" s="517"/>
      <c r="K57" s="517"/>
      <c r="L57" s="517"/>
      <c r="M57" s="517"/>
      <c r="N57" s="517"/>
      <c r="O57" s="517"/>
      <c r="P57" s="517"/>
      <c r="Q57" s="517"/>
      <c r="R57" s="517"/>
      <c r="S57" s="517"/>
      <c r="T57" s="517"/>
      <c r="U57" s="517"/>
      <c r="V57" s="517"/>
      <c r="W57" s="517"/>
      <c r="X57" s="517"/>
      <c r="Y57" s="517"/>
      <c r="Z57" s="517"/>
      <c r="AA57" s="517"/>
      <c r="AB57" s="517"/>
      <c r="AC57" s="517"/>
      <c r="AD57" s="517"/>
    </row>
    <row r="58" spans="3:30">
      <c r="C58" s="517"/>
      <c r="D58" s="517"/>
      <c r="E58" s="517"/>
      <c r="F58" s="517"/>
      <c r="G58" s="517"/>
      <c r="H58" s="517"/>
      <c r="I58" s="517"/>
      <c r="J58" s="517"/>
      <c r="K58" s="517"/>
      <c r="L58" s="517"/>
      <c r="M58" s="517"/>
      <c r="N58" s="517"/>
      <c r="O58" s="517"/>
      <c r="P58" s="517"/>
      <c r="Q58" s="517"/>
      <c r="R58" s="517"/>
      <c r="S58" s="517"/>
      <c r="T58" s="517"/>
      <c r="U58" s="517"/>
      <c r="V58" s="517"/>
      <c r="W58" s="517"/>
      <c r="X58" s="517"/>
      <c r="Y58" s="517"/>
      <c r="Z58" s="517"/>
      <c r="AA58" s="517"/>
      <c r="AB58" s="517"/>
      <c r="AC58" s="517"/>
      <c r="AD58" s="517"/>
    </row>
    <row r="59" spans="3:30">
      <c r="C59" s="517"/>
      <c r="D59" s="517"/>
      <c r="E59" s="517"/>
      <c r="F59" s="517"/>
      <c r="G59" s="517"/>
      <c r="H59" s="517"/>
      <c r="I59" s="517"/>
      <c r="J59" s="517"/>
      <c r="K59" s="517"/>
      <c r="L59" s="517"/>
      <c r="M59" s="517"/>
      <c r="N59" s="517"/>
      <c r="O59" s="517"/>
      <c r="P59" s="517"/>
      <c r="Q59" s="517"/>
      <c r="R59" s="517"/>
      <c r="S59" s="517"/>
      <c r="T59" s="517"/>
      <c r="U59" s="517"/>
      <c r="V59" s="517"/>
      <c r="W59" s="517"/>
      <c r="X59" s="517"/>
      <c r="Y59" s="517"/>
      <c r="Z59" s="517"/>
      <c r="AA59" s="517"/>
      <c r="AB59" s="517"/>
      <c r="AC59" s="517"/>
      <c r="AD59" s="517"/>
    </row>
    <row r="60" spans="3:30">
      <c r="C60" s="517"/>
      <c r="D60" s="517"/>
      <c r="E60" s="517"/>
      <c r="F60" s="517"/>
      <c r="G60" s="517"/>
      <c r="H60" s="517"/>
      <c r="I60" s="517"/>
      <c r="J60" s="517"/>
      <c r="K60" s="517"/>
      <c r="L60" s="517"/>
      <c r="M60" s="517"/>
      <c r="N60" s="517"/>
      <c r="O60" s="517"/>
      <c r="P60" s="517"/>
      <c r="Q60" s="517"/>
      <c r="R60" s="517"/>
      <c r="S60" s="517"/>
      <c r="T60" s="517"/>
      <c r="U60" s="517"/>
      <c r="V60" s="517"/>
      <c r="W60" s="517"/>
      <c r="X60" s="517"/>
      <c r="Y60" s="517"/>
      <c r="Z60" s="517"/>
      <c r="AA60" s="517"/>
      <c r="AB60" s="517"/>
      <c r="AC60" s="517"/>
      <c r="AD60" s="517"/>
    </row>
    <row r="61" spans="3:30">
      <c r="C61" s="517"/>
      <c r="D61" s="517"/>
      <c r="E61" s="517"/>
      <c r="F61" s="517"/>
      <c r="G61" s="517"/>
      <c r="H61" s="517"/>
      <c r="I61" s="517"/>
      <c r="J61" s="517"/>
      <c r="K61" s="517"/>
      <c r="L61" s="517"/>
      <c r="M61" s="517"/>
      <c r="N61" s="517"/>
      <c r="O61" s="517"/>
      <c r="P61" s="517"/>
      <c r="Q61" s="517"/>
      <c r="R61" s="517"/>
      <c r="S61" s="517"/>
      <c r="T61" s="517"/>
      <c r="U61" s="517"/>
      <c r="V61" s="517"/>
      <c r="W61" s="517"/>
      <c r="X61" s="517"/>
      <c r="Y61" s="517"/>
      <c r="Z61" s="517"/>
      <c r="AA61" s="517"/>
      <c r="AB61" s="517"/>
      <c r="AC61" s="517"/>
      <c r="AD61" s="517"/>
    </row>
    <row r="62" spans="3:30">
      <c r="C62" s="517"/>
      <c r="D62" s="517"/>
      <c r="E62" s="517"/>
      <c r="F62" s="517"/>
      <c r="G62" s="517"/>
      <c r="H62" s="517"/>
      <c r="I62" s="517"/>
      <c r="J62" s="517"/>
      <c r="K62" s="517"/>
      <c r="L62" s="517"/>
      <c r="M62" s="517"/>
      <c r="N62" s="517"/>
      <c r="O62" s="517"/>
      <c r="P62" s="517"/>
      <c r="Q62" s="517"/>
      <c r="R62" s="517"/>
      <c r="S62" s="517"/>
      <c r="T62" s="517"/>
      <c r="U62" s="517"/>
      <c r="V62" s="517"/>
      <c r="W62" s="517"/>
      <c r="X62" s="517"/>
      <c r="Y62" s="517"/>
      <c r="Z62" s="517"/>
      <c r="AA62" s="517"/>
      <c r="AB62" s="517"/>
      <c r="AC62" s="517"/>
      <c r="AD62" s="517"/>
    </row>
    <row r="63" spans="3:30">
      <c r="C63" s="517"/>
      <c r="D63" s="517"/>
      <c r="E63" s="517"/>
      <c r="F63" s="517"/>
      <c r="G63" s="517"/>
      <c r="H63" s="517"/>
      <c r="I63" s="517"/>
      <c r="J63" s="517"/>
      <c r="K63" s="517"/>
      <c r="L63" s="517"/>
      <c r="M63" s="517"/>
      <c r="N63" s="517"/>
      <c r="O63" s="517"/>
      <c r="P63" s="517"/>
      <c r="Q63" s="517"/>
      <c r="R63" s="517"/>
      <c r="S63" s="517"/>
      <c r="T63" s="517"/>
      <c r="U63" s="517"/>
      <c r="V63" s="517"/>
      <c r="W63" s="517"/>
      <c r="X63" s="517"/>
      <c r="Y63" s="517"/>
      <c r="Z63" s="517"/>
      <c r="AA63" s="517"/>
      <c r="AB63" s="517"/>
      <c r="AC63" s="517"/>
      <c r="AD63" s="517"/>
    </row>
    <row r="64" spans="3:30">
      <c r="C64" s="517"/>
      <c r="D64" s="517"/>
      <c r="E64" s="517"/>
      <c r="F64" s="517"/>
      <c r="G64" s="517"/>
      <c r="H64" s="517"/>
      <c r="I64" s="517"/>
      <c r="J64" s="517"/>
      <c r="K64" s="517"/>
      <c r="L64" s="517"/>
      <c r="M64" s="517"/>
      <c r="N64" s="517"/>
      <c r="O64" s="517"/>
      <c r="P64" s="517"/>
      <c r="Q64" s="517"/>
      <c r="R64" s="517"/>
      <c r="S64" s="517"/>
      <c r="T64" s="517"/>
      <c r="U64" s="517"/>
      <c r="V64" s="517"/>
      <c r="W64" s="517"/>
      <c r="X64" s="517"/>
      <c r="Y64" s="517"/>
      <c r="Z64" s="517"/>
      <c r="AA64" s="517"/>
      <c r="AB64" s="517"/>
      <c r="AC64" s="517"/>
      <c r="AD64" s="517"/>
    </row>
    <row r="65" spans="3:30">
      <c r="C65" s="517"/>
      <c r="D65" s="517"/>
      <c r="E65" s="517"/>
      <c r="F65" s="517"/>
      <c r="G65" s="517"/>
      <c r="H65" s="517"/>
      <c r="I65" s="517"/>
      <c r="J65" s="517"/>
      <c r="K65" s="517"/>
      <c r="L65" s="517"/>
      <c r="M65" s="517"/>
      <c r="N65" s="517"/>
      <c r="O65" s="517"/>
      <c r="P65" s="517"/>
      <c r="Q65" s="517"/>
      <c r="R65" s="517"/>
      <c r="S65" s="517"/>
      <c r="T65" s="517"/>
      <c r="U65" s="517"/>
      <c r="V65" s="517"/>
      <c r="W65" s="517"/>
      <c r="X65" s="517"/>
      <c r="Y65" s="517"/>
      <c r="Z65" s="517"/>
      <c r="AA65" s="517"/>
      <c r="AB65" s="517"/>
      <c r="AC65" s="517"/>
      <c r="AD65" s="517"/>
    </row>
    <row r="66" spans="3:30">
      <c r="C66" s="517"/>
      <c r="D66" s="517"/>
      <c r="E66" s="517"/>
      <c r="F66" s="517"/>
      <c r="G66" s="517"/>
      <c r="H66" s="517"/>
      <c r="I66" s="517"/>
      <c r="J66" s="517"/>
      <c r="K66" s="517"/>
      <c r="L66" s="517"/>
      <c r="M66" s="517"/>
      <c r="N66" s="517"/>
      <c r="O66" s="517"/>
      <c r="P66" s="517"/>
      <c r="Q66" s="517"/>
      <c r="R66" s="517"/>
      <c r="S66" s="517"/>
      <c r="T66" s="517"/>
      <c r="U66" s="517"/>
      <c r="V66" s="517"/>
      <c r="W66" s="517"/>
      <c r="X66" s="517"/>
      <c r="Y66" s="517"/>
      <c r="Z66" s="517"/>
      <c r="AA66" s="517"/>
      <c r="AB66" s="517"/>
      <c r="AC66" s="517"/>
      <c r="AD66" s="517"/>
    </row>
    <row r="67" spans="3:30">
      <c r="C67" s="517"/>
      <c r="D67" s="517"/>
      <c r="E67" s="517"/>
      <c r="F67" s="517"/>
      <c r="G67" s="517"/>
      <c r="H67" s="517"/>
      <c r="I67" s="517"/>
      <c r="J67" s="517"/>
      <c r="K67" s="517"/>
      <c r="L67" s="517"/>
      <c r="M67" s="517"/>
      <c r="N67" s="517"/>
      <c r="O67" s="517"/>
      <c r="P67" s="517"/>
      <c r="Q67" s="517"/>
      <c r="R67" s="517"/>
      <c r="S67" s="517"/>
      <c r="T67" s="517"/>
      <c r="U67" s="517"/>
      <c r="V67" s="517"/>
      <c r="W67" s="517"/>
      <c r="X67" s="517"/>
      <c r="Y67" s="517"/>
      <c r="Z67" s="517"/>
      <c r="AA67" s="517"/>
      <c r="AB67" s="517"/>
      <c r="AC67" s="517"/>
      <c r="AD67" s="517"/>
    </row>
    <row r="68" spans="3:30">
      <c r="C68" s="517"/>
      <c r="D68" s="517"/>
      <c r="E68" s="517"/>
      <c r="F68" s="517"/>
      <c r="G68" s="517"/>
      <c r="H68" s="517"/>
      <c r="I68" s="517"/>
      <c r="J68" s="517"/>
      <c r="K68" s="517"/>
      <c r="L68" s="517"/>
      <c r="M68" s="517"/>
      <c r="N68" s="517"/>
      <c r="O68" s="517"/>
      <c r="P68" s="517"/>
      <c r="Q68" s="517"/>
      <c r="R68" s="517"/>
      <c r="S68" s="517"/>
      <c r="T68" s="517"/>
      <c r="U68" s="517"/>
      <c r="V68" s="517"/>
      <c r="W68" s="517"/>
      <c r="X68" s="517"/>
      <c r="Y68" s="517"/>
      <c r="Z68" s="517"/>
      <c r="AA68" s="517"/>
      <c r="AB68" s="517"/>
      <c r="AC68" s="517"/>
      <c r="AD68" s="517"/>
    </row>
    <row r="69" spans="3:30">
      <c r="C69" s="517"/>
      <c r="D69" s="517"/>
      <c r="E69" s="517"/>
      <c r="F69" s="517"/>
      <c r="G69" s="517"/>
      <c r="H69" s="517"/>
      <c r="I69" s="517"/>
      <c r="J69" s="517"/>
      <c r="K69" s="517"/>
      <c r="L69" s="517"/>
      <c r="M69" s="517"/>
      <c r="N69" s="517"/>
      <c r="O69" s="517"/>
      <c r="P69" s="517"/>
      <c r="Q69" s="517"/>
      <c r="R69" s="517"/>
      <c r="S69" s="517"/>
      <c r="T69" s="517"/>
      <c r="U69" s="517"/>
      <c r="V69" s="517"/>
      <c r="W69" s="517"/>
      <c r="X69" s="517"/>
      <c r="Y69" s="517"/>
      <c r="Z69" s="517"/>
      <c r="AA69" s="517"/>
      <c r="AB69" s="517"/>
      <c r="AC69" s="517"/>
      <c r="AD69" s="517"/>
    </row>
    <row r="70" spans="3:30">
      <c r="C70" s="517"/>
      <c r="D70" s="517"/>
      <c r="E70" s="517"/>
      <c r="F70" s="517"/>
      <c r="G70" s="517"/>
      <c r="H70" s="517"/>
      <c r="I70" s="517"/>
      <c r="J70" s="517"/>
      <c r="K70" s="517"/>
      <c r="L70" s="517"/>
      <c r="M70" s="517"/>
      <c r="N70" s="517"/>
      <c r="O70" s="517"/>
      <c r="P70" s="517"/>
      <c r="Q70" s="517"/>
      <c r="R70" s="517"/>
      <c r="S70" s="517"/>
      <c r="T70" s="517"/>
      <c r="U70" s="517"/>
      <c r="V70" s="517"/>
      <c r="W70" s="517"/>
      <c r="X70" s="517"/>
      <c r="Y70" s="517"/>
      <c r="Z70" s="517"/>
      <c r="AA70" s="517"/>
      <c r="AB70" s="517"/>
      <c r="AC70" s="517"/>
      <c r="AD70" s="517"/>
    </row>
    <row r="71" spans="3:30">
      <c r="C71" s="517"/>
      <c r="D71" s="517"/>
      <c r="E71" s="517"/>
      <c r="F71" s="517"/>
      <c r="G71" s="517"/>
      <c r="H71" s="517"/>
      <c r="I71" s="517"/>
      <c r="J71" s="517"/>
      <c r="K71" s="517"/>
      <c r="L71" s="517"/>
      <c r="M71" s="517"/>
      <c r="N71" s="517"/>
      <c r="O71" s="517"/>
      <c r="P71" s="517"/>
      <c r="Q71" s="517"/>
      <c r="R71" s="517"/>
      <c r="S71" s="517"/>
      <c r="T71" s="517"/>
      <c r="U71" s="517"/>
      <c r="V71" s="517"/>
      <c r="W71" s="517"/>
      <c r="X71" s="517"/>
      <c r="Y71" s="517"/>
      <c r="Z71" s="517"/>
      <c r="AA71" s="517"/>
      <c r="AB71" s="517"/>
      <c r="AC71" s="517"/>
      <c r="AD71" s="517"/>
    </row>
    <row r="72" spans="3:30">
      <c r="C72" s="517"/>
      <c r="D72" s="517"/>
      <c r="E72" s="517"/>
      <c r="F72" s="517"/>
      <c r="G72" s="517"/>
      <c r="H72" s="517"/>
      <c r="I72" s="517"/>
      <c r="J72" s="517"/>
      <c r="K72" s="517"/>
      <c r="L72" s="517"/>
      <c r="M72" s="517"/>
      <c r="N72" s="517"/>
      <c r="O72" s="517"/>
      <c r="P72" s="517"/>
      <c r="Q72" s="517"/>
      <c r="R72" s="517"/>
      <c r="S72" s="517"/>
      <c r="T72" s="517"/>
      <c r="U72" s="517"/>
      <c r="V72" s="517"/>
      <c r="W72" s="517"/>
      <c r="X72" s="517"/>
      <c r="Y72" s="517"/>
      <c r="Z72" s="517"/>
      <c r="AA72" s="517"/>
      <c r="AB72" s="517"/>
      <c r="AC72" s="517"/>
      <c r="AD72" s="517"/>
    </row>
    <row r="73" spans="3:30">
      <c r="C73" s="517"/>
      <c r="D73" s="517"/>
      <c r="E73" s="517"/>
      <c r="F73" s="517"/>
      <c r="G73" s="517"/>
      <c r="H73" s="517"/>
      <c r="I73" s="517"/>
      <c r="J73" s="517"/>
      <c r="K73" s="517"/>
      <c r="L73" s="517"/>
      <c r="M73" s="517"/>
      <c r="N73" s="517"/>
      <c r="O73" s="517"/>
      <c r="P73" s="517"/>
      <c r="Q73" s="517"/>
      <c r="R73" s="517"/>
      <c r="S73" s="517"/>
      <c r="T73" s="517"/>
      <c r="U73" s="517"/>
      <c r="V73" s="517"/>
      <c r="W73" s="517"/>
      <c r="X73" s="517"/>
      <c r="Y73" s="517"/>
      <c r="Z73" s="517"/>
      <c r="AA73" s="517"/>
      <c r="AB73" s="517"/>
      <c r="AC73" s="517"/>
      <c r="AD73" s="517"/>
    </row>
    <row r="74" spans="3:30">
      <c r="C74" s="517"/>
      <c r="D74" s="517"/>
      <c r="E74" s="517"/>
      <c r="F74" s="517"/>
      <c r="G74" s="517"/>
      <c r="H74" s="517"/>
      <c r="I74" s="517"/>
      <c r="J74" s="517"/>
      <c r="K74" s="517"/>
      <c r="L74" s="517"/>
      <c r="M74" s="517"/>
      <c r="N74" s="517"/>
      <c r="O74" s="517"/>
      <c r="P74" s="517"/>
      <c r="Q74" s="517"/>
      <c r="R74" s="517"/>
      <c r="S74" s="517"/>
      <c r="T74" s="517"/>
      <c r="U74" s="517"/>
      <c r="V74" s="517"/>
      <c r="W74" s="517"/>
      <c r="X74" s="517"/>
      <c r="Y74" s="517"/>
      <c r="Z74" s="517"/>
      <c r="AA74" s="517"/>
      <c r="AB74" s="517"/>
      <c r="AC74" s="517"/>
      <c r="AD74" s="517"/>
    </row>
    <row r="75" spans="3:30">
      <c r="C75" s="517"/>
      <c r="D75" s="517"/>
      <c r="E75" s="517"/>
      <c r="F75" s="517"/>
      <c r="G75" s="517"/>
      <c r="H75" s="517"/>
      <c r="I75" s="517"/>
      <c r="J75" s="517"/>
      <c r="K75" s="517"/>
      <c r="L75" s="517"/>
      <c r="M75" s="517"/>
      <c r="N75" s="517"/>
      <c r="O75" s="517"/>
      <c r="P75" s="517"/>
      <c r="Q75" s="517"/>
      <c r="R75" s="517"/>
      <c r="S75" s="517"/>
      <c r="T75" s="517"/>
      <c r="U75" s="517"/>
      <c r="V75" s="517"/>
      <c r="W75" s="517"/>
      <c r="X75" s="517"/>
      <c r="Y75" s="517"/>
      <c r="Z75" s="517"/>
      <c r="AA75" s="517"/>
      <c r="AB75" s="517"/>
      <c r="AC75" s="517"/>
      <c r="AD75" s="517"/>
    </row>
    <row r="76" spans="3:30">
      <c r="C76" s="517"/>
      <c r="D76" s="517"/>
      <c r="E76" s="517"/>
      <c r="F76" s="517"/>
      <c r="G76" s="517"/>
      <c r="H76" s="517"/>
      <c r="I76" s="517"/>
      <c r="J76" s="517"/>
      <c r="K76" s="517"/>
      <c r="L76" s="517"/>
      <c r="M76" s="517"/>
      <c r="N76" s="517"/>
      <c r="O76" s="517"/>
      <c r="P76" s="517"/>
      <c r="Q76" s="517"/>
      <c r="R76" s="517"/>
      <c r="S76" s="517"/>
      <c r="T76" s="517"/>
      <c r="U76" s="517"/>
      <c r="V76" s="517"/>
      <c r="W76" s="517"/>
      <c r="X76" s="517"/>
      <c r="Y76" s="517"/>
      <c r="Z76" s="517"/>
      <c r="AA76" s="517"/>
      <c r="AB76" s="517"/>
      <c r="AC76" s="517"/>
      <c r="AD76" s="517"/>
    </row>
    <row r="77" spans="3:30">
      <c r="C77" s="517"/>
      <c r="D77" s="517"/>
      <c r="E77" s="517"/>
      <c r="F77" s="517"/>
      <c r="G77" s="517"/>
      <c r="H77" s="517"/>
      <c r="I77" s="517"/>
      <c r="J77" s="517"/>
      <c r="K77" s="517"/>
      <c r="L77" s="517"/>
      <c r="M77" s="517"/>
      <c r="N77" s="517"/>
      <c r="O77" s="517"/>
      <c r="P77" s="517"/>
      <c r="Q77" s="517"/>
      <c r="R77" s="517"/>
      <c r="S77" s="517"/>
      <c r="T77" s="517"/>
      <c r="U77" s="517"/>
      <c r="V77" s="517"/>
      <c r="W77" s="517"/>
      <c r="X77" s="517"/>
      <c r="Y77" s="517"/>
      <c r="Z77" s="517"/>
      <c r="AA77" s="517"/>
      <c r="AB77" s="517"/>
      <c r="AC77" s="517"/>
      <c r="AD77" s="517"/>
    </row>
    <row r="78" spans="3:30">
      <c r="C78" s="517"/>
      <c r="D78" s="517"/>
      <c r="E78" s="517"/>
      <c r="F78" s="517"/>
      <c r="G78" s="517"/>
      <c r="H78" s="517"/>
      <c r="I78" s="517"/>
      <c r="J78" s="517"/>
      <c r="K78" s="517"/>
      <c r="L78" s="517"/>
      <c r="M78" s="517"/>
      <c r="N78" s="517"/>
      <c r="O78" s="517"/>
      <c r="P78" s="517"/>
      <c r="Q78" s="517"/>
      <c r="R78" s="517"/>
      <c r="S78" s="517"/>
      <c r="T78" s="517"/>
      <c r="U78" s="517"/>
      <c r="V78" s="517"/>
      <c r="W78" s="517"/>
      <c r="X78" s="517"/>
      <c r="Y78" s="517"/>
      <c r="Z78" s="517"/>
      <c r="AA78" s="517"/>
      <c r="AB78" s="517"/>
      <c r="AC78" s="517"/>
      <c r="AD78" s="517"/>
    </row>
    <row r="79" spans="3:30">
      <c r="C79" s="517"/>
      <c r="D79" s="517"/>
      <c r="E79" s="517"/>
      <c r="F79" s="517"/>
      <c r="G79" s="517"/>
      <c r="H79" s="517"/>
      <c r="I79" s="517"/>
      <c r="J79" s="517"/>
      <c r="K79" s="517"/>
      <c r="L79" s="517"/>
      <c r="M79" s="517"/>
      <c r="N79" s="517"/>
      <c r="O79" s="517"/>
      <c r="P79" s="517"/>
      <c r="Q79" s="517"/>
      <c r="R79" s="517"/>
      <c r="S79" s="517"/>
      <c r="T79" s="517"/>
      <c r="U79" s="517"/>
      <c r="V79" s="517"/>
      <c r="W79" s="517"/>
      <c r="X79" s="517"/>
      <c r="Y79" s="517"/>
      <c r="Z79" s="517"/>
      <c r="AA79" s="517"/>
      <c r="AB79" s="517"/>
      <c r="AC79" s="517"/>
      <c r="AD79" s="517"/>
    </row>
    <row r="80" spans="3:30">
      <c r="C80" s="517"/>
      <c r="D80" s="517"/>
      <c r="E80" s="517"/>
      <c r="F80" s="517"/>
      <c r="G80" s="517"/>
      <c r="H80" s="517"/>
      <c r="I80" s="517"/>
      <c r="J80" s="517"/>
      <c r="K80" s="517"/>
      <c r="L80" s="517"/>
      <c r="M80" s="517"/>
      <c r="N80" s="517"/>
      <c r="O80" s="517"/>
      <c r="P80" s="517"/>
      <c r="Q80" s="517"/>
      <c r="R80" s="517"/>
      <c r="S80" s="517"/>
      <c r="T80" s="517"/>
      <c r="U80" s="517"/>
      <c r="V80" s="517"/>
      <c r="W80" s="517"/>
      <c r="X80" s="517"/>
      <c r="Y80" s="517"/>
      <c r="Z80" s="517"/>
      <c r="AA80" s="517"/>
      <c r="AB80" s="517"/>
      <c r="AC80" s="517"/>
      <c r="AD80" s="517"/>
    </row>
    <row r="81" spans="3:30">
      <c r="C81" s="517"/>
      <c r="D81" s="517"/>
      <c r="E81" s="517"/>
      <c r="F81" s="517"/>
      <c r="G81" s="517"/>
      <c r="H81" s="517"/>
      <c r="I81" s="517"/>
      <c r="J81" s="517"/>
      <c r="K81" s="517"/>
      <c r="L81" s="517"/>
      <c r="M81" s="517"/>
      <c r="N81" s="517"/>
      <c r="O81" s="517"/>
      <c r="P81" s="517"/>
      <c r="Q81" s="517"/>
      <c r="R81" s="517"/>
      <c r="S81" s="517"/>
      <c r="T81" s="517"/>
      <c r="U81" s="517"/>
      <c r="V81" s="517"/>
      <c r="W81" s="517"/>
      <c r="X81" s="517"/>
      <c r="Y81" s="517"/>
      <c r="Z81" s="517"/>
      <c r="AA81" s="517"/>
      <c r="AB81" s="517"/>
      <c r="AC81" s="517"/>
      <c r="AD81" s="517"/>
    </row>
    <row r="82" spans="3:30">
      <c r="C82" s="517"/>
      <c r="D82" s="517"/>
      <c r="E82" s="517"/>
      <c r="F82" s="517"/>
      <c r="G82" s="517"/>
      <c r="H82" s="517"/>
      <c r="I82" s="517"/>
      <c r="J82" s="517"/>
      <c r="K82" s="517"/>
      <c r="L82" s="517"/>
      <c r="M82" s="517"/>
      <c r="N82" s="517"/>
      <c r="O82" s="517"/>
      <c r="P82" s="517"/>
      <c r="Q82" s="517"/>
      <c r="R82" s="517"/>
      <c r="S82" s="517"/>
      <c r="T82" s="517"/>
      <c r="U82" s="517"/>
      <c r="V82" s="517"/>
      <c r="W82" s="517"/>
      <c r="X82" s="517"/>
      <c r="Y82" s="517"/>
      <c r="Z82" s="517"/>
      <c r="AA82" s="517"/>
      <c r="AB82" s="517"/>
      <c r="AC82" s="517"/>
      <c r="AD82" s="517"/>
    </row>
    <row r="83" spans="3:30">
      <c r="C83" s="517"/>
      <c r="D83" s="517"/>
      <c r="E83" s="517"/>
      <c r="F83" s="517"/>
      <c r="G83" s="517"/>
      <c r="H83" s="517"/>
      <c r="I83" s="517"/>
      <c r="J83" s="517"/>
      <c r="K83" s="517"/>
      <c r="L83" s="517"/>
      <c r="M83" s="517"/>
      <c r="N83" s="517"/>
      <c r="O83" s="517"/>
      <c r="P83" s="517"/>
      <c r="Q83" s="517"/>
      <c r="R83" s="517"/>
      <c r="S83" s="517"/>
      <c r="T83" s="517"/>
      <c r="U83" s="517"/>
      <c r="V83" s="517"/>
      <c r="W83" s="517"/>
      <c r="X83" s="517"/>
      <c r="Y83" s="517"/>
      <c r="Z83" s="517"/>
      <c r="AA83" s="517"/>
      <c r="AB83" s="517"/>
      <c r="AC83" s="517"/>
      <c r="AD83" s="517"/>
    </row>
    <row r="84" spans="3:30">
      <c r="C84" s="517"/>
      <c r="D84" s="517"/>
      <c r="E84" s="517"/>
      <c r="F84" s="517"/>
      <c r="G84" s="517"/>
      <c r="H84" s="517"/>
      <c r="I84" s="517"/>
      <c r="J84" s="517"/>
      <c r="K84" s="517"/>
      <c r="L84" s="517"/>
      <c r="M84" s="517"/>
      <c r="N84" s="517"/>
      <c r="O84" s="517"/>
      <c r="P84" s="517"/>
      <c r="Q84" s="517"/>
      <c r="R84" s="517"/>
      <c r="S84" s="517"/>
      <c r="T84" s="517"/>
      <c r="U84" s="517"/>
      <c r="V84" s="517"/>
      <c r="W84" s="517"/>
      <c r="X84" s="517"/>
      <c r="Y84" s="517"/>
      <c r="Z84" s="517"/>
      <c r="AA84" s="517"/>
      <c r="AB84" s="517"/>
      <c r="AC84" s="517"/>
      <c r="AD84" s="517"/>
    </row>
    <row r="85" spans="3:30">
      <c r="C85" s="517"/>
      <c r="D85" s="517"/>
      <c r="E85" s="517"/>
      <c r="F85" s="517"/>
      <c r="G85" s="517"/>
      <c r="H85" s="517"/>
      <c r="I85" s="517"/>
      <c r="J85" s="517"/>
      <c r="K85" s="517"/>
      <c r="L85" s="517"/>
      <c r="M85" s="517"/>
      <c r="N85" s="517"/>
      <c r="O85" s="517"/>
      <c r="P85" s="517"/>
      <c r="Q85" s="517"/>
      <c r="R85" s="517"/>
      <c r="S85" s="517"/>
      <c r="T85" s="517"/>
      <c r="U85" s="517"/>
      <c r="V85" s="517"/>
      <c r="W85" s="517"/>
      <c r="X85" s="517"/>
      <c r="Y85" s="517"/>
      <c r="Z85" s="517"/>
      <c r="AA85" s="517"/>
      <c r="AB85" s="517"/>
      <c r="AC85" s="517"/>
      <c r="AD85" s="517"/>
    </row>
    <row r="86" spans="3:30">
      <c r="C86" s="517"/>
      <c r="D86" s="517"/>
      <c r="E86" s="517"/>
      <c r="F86" s="517"/>
      <c r="G86" s="517"/>
      <c r="H86" s="517"/>
      <c r="I86" s="517"/>
      <c r="J86" s="517"/>
      <c r="K86" s="517"/>
      <c r="L86" s="517"/>
      <c r="M86" s="517"/>
      <c r="N86" s="517"/>
      <c r="O86" s="517"/>
      <c r="P86" s="517"/>
      <c r="Q86" s="517"/>
      <c r="R86" s="517"/>
      <c r="S86" s="517"/>
      <c r="T86" s="517"/>
      <c r="U86" s="517"/>
      <c r="V86" s="517"/>
      <c r="W86" s="517"/>
      <c r="X86" s="517"/>
      <c r="Y86" s="517"/>
      <c r="Z86" s="517"/>
      <c r="AA86" s="517"/>
      <c r="AB86" s="517"/>
      <c r="AC86" s="517"/>
      <c r="AD86" s="517"/>
    </row>
    <row r="87" spans="3:30">
      <c r="C87" s="517"/>
      <c r="D87" s="517"/>
      <c r="E87" s="517"/>
      <c r="F87" s="517"/>
      <c r="G87" s="517"/>
      <c r="H87" s="517"/>
      <c r="I87" s="517"/>
      <c r="J87" s="517"/>
      <c r="K87" s="517"/>
      <c r="L87" s="517"/>
      <c r="M87" s="517"/>
      <c r="N87" s="517"/>
      <c r="O87" s="517"/>
      <c r="P87" s="517"/>
      <c r="Q87" s="517"/>
      <c r="R87" s="517"/>
      <c r="S87" s="517"/>
      <c r="T87" s="517"/>
      <c r="U87" s="517"/>
      <c r="V87" s="517"/>
      <c r="W87" s="517"/>
      <c r="X87" s="517"/>
      <c r="Y87" s="517"/>
      <c r="Z87" s="517"/>
      <c r="AA87" s="517"/>
      <c r="AB87" s="517"/>
      <c r="AC87" s="517"/>
      <c r="AD87" s="517"/>
    </row>
    <row r="88" spans="3:30">
      <c r="C88" s="517"/>
      <c r="D88" s="517"/>
      <c r="E88" s="517"/>
      <c r="F88" s="517"/>
      <c r="G88" s="517"/>
      <c r="H88" s="517"/>
      <c r="I88" s="517"/>
      <c r="J88" s="517"/>
      <c r="K88" s="517"/>
      <c r="L88" s="517"/>
      <c r="M88" s="517"/>
      <c r="N88" s="517"/>
      <c r="O88" s="517"/>
      <c r="P88" s="517"/>
      <c r="Q88" s="517"/>
      <c r="R88" s="517"/>
      <c r="S88" s="517"/>
      <c r="T88" s="517"/>
      <c r="U88" s="517"/>
      <c r="V88" s="517"/>
      <c r="W88" s="517"/>
      <c r="X88" s="517"/>
      <c r="Y88" s="517"/>
      <c r="Z88" s="517"/>
      <c r="AA88" s="517"/>
      <c r="AB88" s="517"/>
      <c r="AC88" s="517"/>
      <c r="AD88" s="517"/>
    </row>
    <row r="89" spans="3:30">
      <c r="C89" s="517"/>
      <c r="D89" s="517"/>
      <c r="E89" s="517"/>
      <c r="F89" s="517"/>
      <c r="G89" s="517"/>
      <c r="H89" s="517"/>
      <c r="I89" s="517"/>
      <c r="J89" s="517"/>
      <c r="K89" s="517"/>
      <c r="L89" s="517"/>
      <c r="M89" s="517"/>
      <c r="N89" s="517"/>
      <c r="O89" s="517"/>
      <c r="P89" s="517"/>
      <c r="Q89" s="517"/>
      <c r="R89" s="517"/>
      <c r="S89" s="517"/>
      <c r="T89" s="517"/>
      <c r="U89" s="517"/>
      <c r="V89" s="517"/>
      <c r="W89" s="517"/>
      <c r="X89" s="517"/>
      <c r="Y89" s="517"/>
      <c r="Z89" s="517"/>
      <c r="AA89" s="517"/>
      <c r="AB89" s="517"/>
      <c r="AC89" s="517"/>
      <c r="AD89" s="517"/>
    </row>
    <row r="90" spans="3:30">
      <c r="C90" s="517"/>
      <c r="D90" s="517"/>
      <c r="E90" s="517"/>
      <c r="F90" s="517"/>
      <c r="G90" s="517"/>
      <c r="H90" s="517"/>
      <c r="I90" s="517"/>
      <c r="J90" s="517"/>
      <c r="K90" s="517"/>
      <c r="L90" s="517"/>
      <c r="M90" s="517"/>
      <c r="N90" s="517"/>
      <c r="O90" s="517"/>
      <c r="P90" s="517"/>
      <c r="Q90" s="517"/>
      <c r="R90" s="517"/>
      <c r="S90" s="517"/>
      <c r="T90" s="517"/>
      <c r="U90" s="517"/>
      <c r="V90" s="517"/>
      <c r="W90" s="517"/>
      <c r="X90" s="517"/>
      <c r="Y90" s="517"/>
      <c r="Z90" s="517"/>
      <c r="AA90" s="517"/>
      <c r="AB90" s="517"/>
      <c r="AC90" s="517"/>
      <c r="AD90" s="517"/>
    </row>
    <row r="91" spans="3:30">
      <c r="C91" s="517"/>
      <c r="D91" s="517"/>
      <c r="E91" s="517"/>
      <c r="F91" s="517"/>
      <c r="G91" s="517"/>
      <c r="H91" s="517"/>
      <c r="I91" s="517"/>
      <c r="J91" s="517"/>
      <c r="K91" s="517"/>
      <c r="L91" s="517"/>
      <c r="M91" s="517"/>
      <c r="N91" s="517"/>
      <c r="O91" s="517"/>
      <c r="P91" s="517"/>
      <c r="Q91" s="517"/>
      <c r="R91" s="517"/>
      <c r="S91" s="517"/>
      <c r="T91" s="517"/>
      <c r="U91" s="517"/>
      <c r="V91" s="517"/>
      <c r="W91" s="517"/>
      <c r="X91" s="517"/>
      <c r="Y91" s="517"/>
      <c r="Z91" s="517"/>
      <c r="AA91" s="517"/>
      <c r="AB91" s="517"/>
      <c r="AC91" s="517"/>
      <c r="AD91" s="517"/>
    </row>
    <row r="92" spans="3:30">
      <c r="C92" s="517"/>
      <c r="D92" s="517"/>
      <c r="E92" s="517"/>
      <c r="F92" s="517"/>
      <c r="G92" s="517"/>
      <c r="H92" s="517"/>
      <c r="I92" s="517"/>
      <c r="J92" s="517"/>
      <c r="K92" s="517"/>
      <c r="L92" s="517"/>
      <c r="M92" s="517"/>
      <c r="N92" s="517"/>
      <c r="O92" s="517"/>
      <c r="P92" s="517"/>
      <c r="Q92" s="517"/>
      <c r="R92" s="517"/>
      <c r="S92" s="517"/>
      <c r="T92" s="517"/>
      <c r="U92" s="517"/>
      <c r="V92" s="517"/>
      <c r="W92" s="517"/>
      <c r="X92" s="517"/>
      <c r="Y92" s="517"/>
      <c r="Z92" s="517"/>
      <c r="AA92" s="517"/>
      <c r="AB92" s="517"/>
      <c r="AC92" s="517"/>
      <c r="AD92" s="517"/>
    </row>
    <row r="93" spans="3:30">
      <c r="C93" s="517"/>
      <c r="D93" s="517"/>
      <c r="E93" s="517"/>
      <c r="F93" s="517"/>
      <c r="G93" s="517"/>
      <c r="H93" s="517"/>
      <c r="I93" s="517"/>
      <c r="J93" s="517"/>
      <c r="K93" s="517"/>
      <c r="L93" s="517"/>
      <c r="M93" s="517"/>
      <c r="N93" s="517"/>
      <c r="O93" s="517"/>
      <c r="P93" s="517"/>
      <c r="Q93" s="517"/>
      <c r="R93" s="517"/>
      <c r="S93" s="517"/>
      <c r="T93" s="517"/>
      <c r="U93" s="517"/>
      <c r="V93" s="517"/>
      <c r="W93" s="517"/>
      <c r="X93" s="517"/>
      <c r="Y93" s="517"/>
      <c r="Z93" s="517"/>
      <c r="AA93" s="517"/>
      <c r="AB93" s="517"/>
      <c r="AC93" s="517"/>
      <c r="AD93" s="517"/>
    </row>
    <row r="94" spans="3:30">
      <c r="C94" s="517"/>
      <c r="D94" s="517"/>
      <c r="E94" s="517"/>
      <c r="F94" s="517"/>
      <c r="G94" s="517"/>
      <c r="H94" s="517"/>
      <c r="I94" s="517"/>
      <c r="J94" s="517"/>
      <c r="K94" s="517"/>
      <c r="L94" s="517"/>
      <c r="M94" s="517"/>
      <c r="N94" s="517"/>
      <c r="O94" s="517"/>
      <c r="P94" s="517"/>
      <c r="Q94" s="517"/>
      <c r="R94" s="517"/>
      <c r="S94" s="517"/>
      <c r="T94" s="517"/>
      <c r="U94" s="517"/>
      <c r="V94" s="517"/>
      <c r="W94" s="517"/>
      <c r="X94" s="517"/>
      <c r="Y94" s="517"/>
      <c r="Z94" s="517"/>
      <c r="AA94" s="517"/>
      <c r="AB94" s="517"/>
      <c r="AC94" s="517"/>
      <c r="AD94" s="517"/>
    </row>
    <row r="95" spans="3:30">
      <c r="C95" s="517"/>
      <c r="D95" s="517"/>
      <c r="E95" s="517"/>
      <c r="F95" s="517"/>
      <c r="G95" s="517"/>
      <c r="H95" s="517"/>
      <c r="I95" s="517"/>
      <c r="J95" s="517"/>
      <c r="K95" s="517"/>
      <c r="L95" s="517"/>
      <c r="M95" s="517"/>
      <c r="N95" s="517"/>
      <c r="O95" s="517"/>
      <c r="P95" s="517"/>
      <c r="Q95" s="517"/>
      <c r="R95" s="517"/>
      <c r="S95" s="517"/>
      <c r="T95" s="517"/>
      <c r="U95" s="517"/>
      <c r="V95" s="517"/>
      <c r="W95" s="517"/>
      <c r="X95" s="517"/>
      <c r="Y95" s="517"/>
      <c r="Z95" s="517"/>
      <c r="AA95" s="517"/>
      <c r="AB95" s="517"/>
      <c r="AC95" s="517"/>
      <c r="AD95" s="517"/>
    </row>
    <row r="96" spans="3:30">
      <c r="C96" s="517"/>
      <c r="D96" s="517"/>
      <c r="E96" s="517"/>
      <c r="F96" s="517"/>
      <c r="G96" s="517"/>
      <c r="H96" s="517"/>
      <c r="I96" s="517"/>
      <c r="J96" s="517"/>
      <c r="K96" s="517"/>
      <c r="L96" s="517"/>
      <c r="M96" s="517"/>
      <c r="N96" s="517"/>
      <c r="O96" s="517"/>
      <c r="P96" s="517"/>
      <c r="Q96" s="517"/>
      <c r="R96" s="517"/>
      <c r="S96" s="517"/>
      <c r="T96" s="517"/>
      <c r="U96" s="517"/>
      <c r="V96" s="517"/>
      <c r="W96" s="517"/>
      <c r="X96" s="517"/>
      <c r="Y96" s="517"/>
      <c r="Z96" s="517"/>
      <c r="AA96" s="517"/>
      <c r="AB96" s="517"/>
      <c r="AC96" s="517"/>
      <c r="AD96" s="517"/>
    </row>
    <row r="97" spans="3:30">
      <c r="C97" s="517"/>
      <c r="D97" s="517"/>
      <c r="E97" s="517"/>
      <c r="F97" s="517"/>
      <c r="G97" s="517"/>
      <c r="H97" s="517"/>
      <c r="I97" s="517"/>
      <c r="J97" s="517"/>
      <c r="K97" s="517"/>
      <c r="L97" s="517"/>
      <c r="M97" s="517"/>
      <c r="N97" s="517"/>
      <c r="O97" s="517"/>
      <c r="P97" s="517"/>
      <c r="Q97" s="517"/>
      <c r="R97" s="517"/>
      <c r="S97" s="517"/>
      <c r="T97" s="517"/>
      <c r="U97" s="517"/>
      <c r="V97" s="517"/>
      <c r="W97" s="517"/>
      <c r="X97" s="517"/>
      <c r="Y97" s="517"/>
      <c r="Z97" s="517"/>
      <c r="AA97" s="517"/>
      <c r="AB97" s="517"/>
      <c r="AC97" s="517"/>
      <c r="AD97" s="517"/>
    </row>
    <row r="98" spans="3:30">
      <c r="C98" s="517"/>
      <c r="D98" s="517"/>
      <c r="E98" s="517"/>
      <c r="F98" s="517"/>
      <c r="G98" s="517"/>
      <c r="H98" s="517"/>
      <c r="I98" s="517"/>
      <c r="J98" s="517"/>
      <c r="K98" s="517"/>
      <c r="L98" s="517"/>
      <c r="M98" s="517"/>
      <c r="N98" s="517"/>
      <c r="O98" s="517"/>
      <c r="P98" s="517"/>
      <c r="Q98" s="517"/>
      <c r="R98" s="517"/>
      <c r="S98" s="517"/>
      <c r="T98" s="517"/>
      <c r="U98" s="517"/>
      <c r="V98" s="517"/>
      <c r="W98" s="517"/>
      <c r="X98" s="517"/>
      <c r="Y98" s="517"/>
      <c r="Z98" s="517"/>
      <c r="AA98" s="517"/>
      <c r="AB98" s="517"/>
      <c r="AC98" s="517"/>
      <c r="AD98" s="517"/>
    </row>
    <row r="99" spans="3:30">
      <c r="C99" s="517"/>
      <c r="D99" s="517"/>
      <c r="E99" s="517"/>
      <c r="F99" s="517"/>
      <c r="G99" s="517"/>
      <c r="H99" s="517"/>
      <c r="I99" s="517"/>
      <c r="J99" s="517"/>
      <c r="K99" s="517"/>
      <c r="L99" s="517"/>
      <c r="M99" s="517"/>
      <c r="N99" s="517"/>
      <c r="O99" s="517"/>
      <c r="P99" s="517"/>
      <c r="Q99" s="517"/>
      <c r="R99" s="517"/>
      <c r="S99" s="517"/>
      <c r="T99" s="517"/>
      <c r="U99" s="517"/>
      <c r="V99" s="517"/>
      <c r="W99" s="517"/>
      <c r="X99" s="517"/>
      <c r="Y99" s="517"/>
      <c r="Z99" s="517"/>
      <c r="AA99" s="517"/>
      <c r="AB99" s="517"/>
      <c r="AC99" s="517"/>
      <c r="AD99" s="517"/>
    </row>
    <row r="100" spans="3:30">
      <c r="C100" s="517"/>
      <c r="D100" s="517"/>
      <c r="E100" s="517"/>
      <c r="F100" s="517"/>
      <c r="G100" s="517"/>
      <c r="H100" s="517"/>
      <c r="I100" s="517"/>
      <c r="J100" s="517"/>
      <c r="K100" s="517"/>
      <c r="L100" s="517"/>
      <c r="M100" s="517"/>
      <c r="N100" s="517"/>
      <c r="O100" s="517"/>
      <c r="P100" s="517"/>
      <c r="Q100" s="517"/>
      <c r="R100" s="517"/>
      <c r="S100" s="517"/>
      <c r="T100" s="517"/>
      <c r="U100" s="517"/>
      <c r="V100" s="517"/>
      <c r="W100" s="517"/>
      <c r="X100" s="517"/>
      <c r="Y100" s="517"/>
      <c r="Z100" s="517"/>
      <c r="AA100" s="517"/>
      <c r="AB100" s="517"/>
      <c r="AC100" s="517"/>
      <c r="AD100" s="517"/>
    </row>
    <row r="101" spans="3:30">
      <c r="C101" s="517"/>
      <c r="D101" s="517"/>
      <c r="E101" s="517"/>
      <c r="F101" s="517"/>
      <c r="G101" s="517"/>
      <c r="H101" s="517"/>
      <c r="I101" s="517"/>
      <c r="J101" s="517"/>
      <c r="K101" s="517"/>
      <c r="L101" s="517"/>
      <c r="M101" s="517"/>
      <c r="N101" s="517"/>
      <c r="O101" s="517"/>
      <c r="P101" s="517"/>
      <c r="Q101" s="517"/>
      <c r="R101" s="517"/>
      <c r="S101" s="517"/>
      <c r="T101" s="517"/>
      <c r="U101" s="517"/>
      <c r="V101" s="517"/>
      <c r="W101" s="517"/>
      <c r="X101" s="517"/>
      <c r="Y101" s="517"/>
      <c r="Z101" s="517"/>
      <c r="AA101" s="517"/>
      <c r="AB101" s="517"/>
      <c r="AC101" s="517"/>
      <c r="AD101" s="517"/>
    </row>
    <row r="102" spans="3:30">
      <c r="C102" s="517"/>
      <c r="D102" s="517"/>
      <c r="E102" s="517"/>
      <c r="F102" s="517"/>
      <c r="G102" s="517"/>
      <c r="H102" s="517"/>
      <c r="I102" s="517"/>
      <c r="J102" s="517"/>
      <c r="K102" s="517"/>
      <c r="L102" s="517"/>
      <c r="M102" s="517"/>
      <c r="N102" s="517"/>
      <c r="O102" s="517"/>
      <c r="P102" s="517"/>
      <c r="Q102" s="517"/>
      <c r="R102" s="517"/>
      <c r="S102" s="517"/>
      <c r="T102" s="517"/>
      <c r="U102" s="517"/>
      <c r="V102" s="517"/>
      <c r="W102" s="517"/>
      <c r="X102" s="517"/>
      <c r="Y102" s="517"/>
      <c r="Z102" s="517"/>
      <c r="AA102" s="517"/>
      <c r="AB102" s="517"/>
      <c r="AC102" s="517"/>
      <c r="AD102" s="517"/>
    </row>
    <row r="103" spans="3:30">
      <c r="C103" s="517"/>
      <c r="D103" s="517"/>
      <c r="E103" s="517"/>
      <c r="F103" s="517"/>
      <c r="G103" s="517"/>
      <c r="H103" s="517"/>
      <c r="I103" s="517"/>
      <c r="J103" s="517"/>
      <c r="K103" s="517"/>
      <c r="L103" s="517"/>
      <c r="M103" s="517"/>
      <c r="N103" s="517"/>
      <c r="O103" s="517"/>
      <c r="P103" s="517"/>
      <c r="Q103" s="517"/>
      <c r="R103" s="517"/>
      <c r="S103" s="517"/>
      <c r="T103" s="517"/>
      <c r="U103" s="517"/>
      <c r="V103" s="517"/>
      <c r="W103" s="517"/>
      <c r="X103" s="517"/>
      <c r="Y103" s="517"/>
      <c r="Z103" s="517"/>
      <c r="AA103" s="517"/>
      <c r="AB103" s="517"/>
      <c r="AC103" s="517"/>
      <c r="AD103" s="517"/>
    </row>
    <row r="104" spans="3:30">
      <c r="C104" s="517"/>
      <c r="D104" s="517"/>
      <c r="E104" s="517"/>
      <c r="F104" s="517"/>
      <c r="G104" s="517"/>
      <c r="H104" s="517"/>
      <c r="I104" s="517"/>
      <c r="J104" s="517"/>
      <c r="K104" s="517"/>
      <c r="L104" s="517"/>
      <c r="M104" s="517"/>
      <c r="N104" s="517"/>
      <c r="O104" s="517"/>
      <c r="P104" s="517"/>
      <c r="Q104" s="517"/>
      <c r="R104" s="517"/>
      <c r="S104" s="517"/>
      <c r="T104" s="517"/>
      <c r="U104" s="517"/>
      <c r="V104" s="517"/>
      <c r="W104" s="517"/>
      <c r="X104" s="517"/>
      <c r="Y104" s="517"/>
      <c r="Z104" s="517"/>
      <c r="AA104" s="517"/>
      <c r="AB104" s="517"/>
      <c r="AC104" s="517"/>
      <c r="AD104" s="517"/>
    </row>
    <row r="105" spans="3:30">
      <c r="C105" s="517"/>
      <c r="D105" s="517"/>
      <c r="E105" s="517"/>
      <c r="F105" s="517"/>
      <c r="G105" s="517"/>
      <c r="H105" s="517"/>
      <c r="I105" s="517"/>
      <c r="J105" s="517"/>
      <c r="K105" s="517"/>
      <c r="L105" s="517"/>
      <c r="M105" s="517"/>
      <c r="N105" s="517"/>
      <c r="O105" s="517"/>
      <c r="P105" s="517"/>
      <c r="Q105" s="517"/>
      <c r="R105" s="517"/>
      <c r="S105" s="517"/>
      <c r="T105" s="517"/>
      <c r="U105" s="517"/>
      <c r="V105" s="517"/>
      <c r="W105" s="517"/>
      <c r="X105" s="517"/>
      <c r="Y105" s="517"/>
      <c r="Z105" s="517"/>
      <c r="AA105" s="517"/>
      <c r="AB105" s="517"/>
      <c r="AC105" s="517"/>
      <c r="AD105" s="517"/>
    </row>
    <row r="106" spans="3:30">
      <c r="C106" s="517"/>
      <c r="D106" s="517"/>
      <c r="E106" s="517"/>
      <c r="F106" s="517"/>
      <c r="G106" s="517"/>
      <c r="H106" s="517"/>
      <c r="I106" s="517"/>
      <c r="J106" s="517"/>
      <c r="K106" s="517"/>
      <c r="L106" s="517"/>
      <c r="M106" s="517"/>
      <c r="N106" s="517"/>
      <c r="O106" s="517"/>
      <c r="P106" s="517"/>
      <c r="Q106" s="517"/>
      <c r="R106" s="517"/>
      <c r="S106" s="517"/>
      <c r="T106" s="517"/>
      <c r="U106" s="517"/>
      <c r="V106" s="517"/>
      <c r="W106" s="517"/>
      <c r="X106" s="517"/>
      <c r="Y106" s="517"/>
      <c r="Z106" s="517"/>
      <c r="AA106" s="517"/>
      <c r="AB106" s="517"/>
      <c r="AC106" s="517"/>
      <c r="AD106" s="517"/>
    </row>
    <row r="107" spans="3:30">
      <c r="C107" s="517"/>
      <c r="D107" s="517"/>
      <c r="E107" s="517"/>
      <c r="F107" s="517"/>
      <c r="G107" s="517"/>
      <c r="H107" s="517"/>
      <c r="I107" s="517"/>
      <c r="J107" s="517"/>
      <c r="K107" s="517"/>
      <c r="L107" s="517"/>
      <c r="M107" s="517"/>
      <c r="N107" s="517"/>
      <c r="O107" s="517"/>
      <c r="P107" s="517"/>
      <c r="Q107" s="517"/>
      <c r="R107" s="517"/>
      <c r="S107" s="517"/>
      <c r="T107" s="517"/>
      <c r="U107" s="517"/>
      <c r="V107" s="517"/>
      <c r="W107" s="517"/>
      <c r="X107" s="517"/>
      <c r="Y107" s="517"/>
      <c r="Z107" s="517"/>
      <c r="AA107" s="517"/>
      <c r="AB107" s="517"/>
      <c r="AC107" s="517"/>
      <c r="AD107" s="517"/>
    </row>
    <row r="108" spans="3:30">
      <c r="C108" s="517"/>
      <c r="D108" s="517"/>
      <c r="E108" s="517"/>
      <c r="F108" s="517"/>
      <c r="G108" s="517"/>
      <c r="H108" s="517"/>
      <c r="I108" s="517"/>
      <c r="J108" s="517"/>
      <c r="K108" s="517"/>
      <c r="L108" s="517"/>
      <c r="M108" s="517"/>
      <c r="N108" s="517"/>
      <c r="O108" s="517"/>
      <c r="P108" s="517"/>
      <c r="Q108" s="517"/>
      <c r="R108" s="517"/>
      <c r="S108" s="517"/>
      <c r="T108" s="517"/>
      <c r="U108" s="517"/>
      <c r="V108" s="517"/>
      <c r="W108" s="517"/>
      <c r="X108" s="517"/>
      <c r="Y108" s="517"/>
      <c r="Z108" s="517"/>
      <c r="AA108" s="517"/>
      <c r="AB108" s="517"/>
      <c r="AC108" s="517"/>
      <c r="AD108" s="517"/>
    </row>
    <row r="109" spans="3:30">
      <c r="C109" s="517"/>
      <c r="D109" s="517"/>
      <c r="E109" s="517"/>
      <c r="F109" s="517"/>
      <c r="G109" s="517"/>
      <c r="H109" s="517"/>
      <c r="I109" s="517"/>
      <c r="J109" s="517"/>
      <c r="K109" s="517"/>
      <c r="L109" s="517"/>
      <c r="M109" s="517"/>
      <c r="N109" s="517"/>
      <c r="O109" s="517"/>
      <c r="P109" s="517"/>
      <c r="Q109" s="517"/>
      <c r="R109" s="517"/>
      <c r="S109" s="517"/>
      <c r="T109" s="517"/>
      <c r="U109" s="517"/>
      <c r="V109" s="517"/>
      <c r="W109" s="517"/>
      <c r="X109" s="517"/>
      <c r="Y109" s="517"/>
      <c r="Z109" s="517"/>
      <c r="AA109" s="517"/>
      <c r="AB109" s="517"/>
      <c r="AC109" s="517"/>
      <c r="AD109" s="517"/>
    </row>
    <row r="110" spans="3:30">
      <c r="C110" s="517"/>
      <c r="D110" s="517"/>
      <c r="E110" s="517"/>
      <c r="F110" s="517"/>
      <c r="G110" s="517"/>
      <c r="H110" s="517"/>
      <c r="I110" s="517"/>
      <c r="J110" s="517"/>
      <c r="K110" s="517"/>
      <c r="L110" s="517"/>
      <c r="M110" s="517"/>
      <c r="N110" s="517"/>
      <c r="O110" s="517"/>
      <c r="P110" s="517"/>
      <c r="Q110" s="517"/>
      <c r="R110" s="517"/>
      <c r="S110" s="517"/>
      <c r="T110" s="517"/>
      <c r="U110" s="517"/>
      <c r="V110" s="517"/>
      <c r="W110" s="517"/>
      <c r="X110" s="517"/>
      <c r="Y110" s="517"/>
      <c r="Z110" s="517"/>
      <c r="AA110" s="517"/>
      <c r="AB110" s="517"/>
      <c r="AC110" s="517"/>
      <c r="AD110" s="517"/>
    </row>
    <row r="111" spans="3:30">
      <c r="C111" s="517"/>
      <c r="D111" s="517"/>
      <c r="E111" s="517"/>
      <c r="F111" s="517"/>
      <c r="G111" s="517"/>
      <c r="H111" s="517"/>
      <c r="I111" s="517"/>
      <c r="J111" s="517"/>
      <c r="K111" s="517"/>
      <c r="L111" s="517"/>
      <c r="M111" s="517"/>
      <c r="N111" s="517"/>
      <c r="O111" s="517"/>
      <c r="P111" s="517"/>
      <c r="Q111" s="517"/>
      <c r="R111" s="517"/>
      <c r="S111" s="517"/>
      <c r="T111" s="517"/>
      <c r="U111" s="517"/>
      <c r="V111" s="517"/>
      <c r="W111" s="517"/>
      <c r="X111" s="517"/>
      <c r="Y111" s="517"/>
      <c r="Z111" s="517"/>
      <c r="AA111" s="517"/>
      <c r="AB111" s="517"/>
      <c r="AC111" s="517"/>
      <c r="AD111" s="517"/>
    </row>
    <row r="112" spans="3:30">
      <c r="C112" s="517"/>
      <c r="D112" s="517"/>
      <c r="E112" s="517"/>
      <c r="F112" s="517"/>
      <c r="G112" s="517"/>
      <c r="H112" s="517"/>
      <c r="I112" s="517"/>
      <c r="J112" s="517"/>
      <c r="K112" s="517"/>
      <c r="L112" s="517"/>
      <c r="M112" s="517"/>
      <c r="N112" s="517"/>
      <c r="O112" s="517"/>
      <c r="P112" s="517"/>
      <c r="Q112" s="517"/>
      <c r="R112" s="517"/>
      <c r="S112" s="517"/>
      <c r="T112" s="517"/>
      <c r="U112" s="517"/>
      <c r="V112" s="517"/>
      <c r="W112" s="517"/>
      <c r="X112" s="517"/>
      <c r="Y112" s="517"/>
      <c r="Z112" s="517"/>
      <c r="AA112" s="517"/>
      <c r="AB112" s="517"/>
      <c r="AC112" s="517"/>
      <c r="AD112" s="517"/>
    </row>
    <row r="113" spans="3:30">
      <c r="C113" s="517"/>
      <c r="D113" s="517"/>
      <c r="E113" s="517"/>
      <c r="F113" s="517"/>
      <c r="G113" s="517"/>
      <c r="H113" s="517"/>
      <c r="I113" s="517"/>
      <c r="J113" s="517"/>
      <c r="K113" s="517"/>
      <c r="L113" s="517"/>
      <c r="M113" s="517"/>
      <c r="N113" s="517"/>
      <c r="O113" s="517"/>
      <c r="P113" s="517"/>
      <c r="Q113" s="517"/>
      <c r="R113" s="517"/>
      <c r="S113" s="517"/>
      <c r="T113" s="517"/>
      <c r="U113" s="517"/>
      <c r="V113" s="517"/>
      <c r="W113" s="517"/>
      <c r="X113" s="517"/>
      <c r="Y113" s="517"/>
      <c r="Z113" s="517"/>
      <c r="AA113" s="517"/>
      <c r="AB113" s="517"/>
      <c r="AC113" s="517"/>
      <c r="AD113" s="517"/>
    </row>
    <row r="114" spans="3:30">
      <c r="C114" s="517"/>
      <c r="D114" s="517"/>
      <c r="E114" s="517"/>
      <c r="F114" s="517"/>
      <c r="G114" s="517"/>
      <c r="H114" s="517"/>
      <c r="I114" s="517"/>
      <c r="J114" s="517"/>
      <c r="K114" s="517"/>
      <c r="L114" s="517"/>
      <c r="M114" s="517"/>
      <c r="N114" s="517"/>
      <c r="O114" s="517"/>
      <c r="P114" s="517"/>
      <c r="Q114" s="517"/>
      <c r="R114" s="517"/>
      <c r="S114" s="517"/>
      <c r="T114" s="517"/>
      <c r="U114" s="517"/>
      <c r="V114" s="517"/>
      <c r="W114" s="517"/>
      <c r="X114" s="517"/>
      <c r="Y114" s="517"/>
      <c r="Z114" s="517"/>
      <c r="AA114" s="517"/>
      <c r="AB114" s="517"/>
      <c r="AC114" s="517"/>
      <c r="AD114" s="517"/>
    </row>
    <row r="115" spans="3:30">
      <c r="C115" s="517"/>
      <c r="D115" s="517"/>
      <c r="E115" s="517"/>
      <c r="F115" s="517"/>
      <c r="G115" s="517"/>
      <c r="H115" s="517"/>
      <c r="I115" s="517"/>
      <c r="J115" s="517"/>
      <c r="K115" s="517"/>
      <c r="L115" s="517"/>
      <c r="M115" s="517"/>
      <c r="N115" s="517"/>
      <c r="O115" s="517"/>
      <c r="P115" s="517"/>
      <c r="Q115" s="517"/>
      <c r="R115" s="517"/>
      <c r="S115" s="517"/>
      <c r="T115" s="517"/>
      <c r="U115" s="517"/>
      <c r="V115" s="517"/>
      <c r="W115" s="517"/>
      <c r="X115" s="517"/>
      <c r="Y115" s="517"/>
      <c r="Z115" s="517"/>
      <c r="AA115" s="517"/>
      <c r="AB115" s="517"/>
      <c r="AC115" s="517"/>
      <c r="AD115" s="517"/>
    </row>
    <row r="116" spans="3:30">
      <c r="C116" s="517"/>
      <c r="D116" s="517"/>
      <c r="E116" s="517"/>
      <c r="F116" s="517"/>
      <c r="G116" s="517"/>
      <c r="H116" s="517"/>
      <c r="I116" s="517"/>
      <c r="J116" s="517"/>
      <c r="K116" s="517"/>
      <c r="L116" s="517"/>
      <c r="M116" s="517"/>
      <c r="N116" s="517"/>
      <c r="O116" s="517"/>
      <c r="P116" s="517"/>
      <c r="Q116" s="517"/>
      <c r="R116" s="517"/>
      <c r="S116" s="517"/>
      <c r="T116" s="517"/>
      <c r="U116" s="517"/>
      <c r="V116" s="517"/>
      <c r="W116" s="517"/>
      <c r="X116" s="517"/>
      <c r="Y116" s="517"/>
      <c r="Z116" s="517"/>
      <c r="AA116" s="517"/>
      <c r="AB116" s="517"/>
      <c r="AC116" s="517"/>
      <c r="AD116" s="517"/>
    </row>
    <row r="117" spans="3:30">
      <c r="C117" s="517"/>
      <c r="D117" s="517"/>
      <c r="E117" s="517"/>
      <c r="F117" s="517"/>
      <c r="G117" s="517"/>
      <c r="H117" s="517"/>
      <c r="I117" s="517"/>
      <c r="J117" s="517"/>
      <c r="K117" s="517"/>
      <c r="L117" s="517"/>
      <c r="M117" s="517"/>
      <c r="N117" s="517"/>
      <c r="O117" s="517"/>
      <c r="P117" s="517"/>
      <c r="Q117" s="517"/>
      <c r="R117" s="517"/>
      <c r="S117" s="517"/>
      <c r="T117" s="517"/>
      <c r="U117" s="517"/>
      <c r="V117" s="517"/>
      <c r="W117" s="517"/>
      <c r="X117" s="517"/>
      <c r="Y117" s="517"/>
      <c r="Z117" s="517"/>
      <c r="AA117" s="517"/>
      <c r="AB117" s="517"/>
      <c r="AC117" s="517"/>
      <c r="AD117" s="517"/>
    </row>
    <row r="118" spans="3:30">
      <c r="C118" s="517"/>
      <c r="D118" s="517"/>
      <c r="E118" s="517"/>
      <c r="F118" s="517"/>
      <c r="G118" s="517"/>
      <c r="H118" s="517"/>
      <c r="I118" s="517"/>
      <c r="J118" s="517"/>
      <c r="K118" s="517"/>
      <c r="L118" s="517"/>
      <c r="M118" s="517"/>
      <c r="N118" s="517"/>
      <c r="O118" s="517"/>
      <c r="P118" s="517"/>
      <c r="Q118" s="517"/>
      <c r="R118" s="517"/>
      <c r="S118" s="517"/>
      <c r="T118" s="517"/>
      <c r="U118" s="517"/>
      <c r="V118" s="517"/>
      <c r="W118" s="517"/>
      <c r="X118" s="517"/>
      <c r="Y118" s="517"/>
      <c r="Z118" s="517"/>
      <c r="AA118" s="517"/>
      <c r="AB118" s="517"/>
      <c r="AC118" s="517"/>
      <c r="AD118" s="517"/>
    </row>
    <row r="119" spans="3:30">
      <c r="C119" s="517"/>
      <c r="D119" s="517"/>
      <c r="E119" s="517"/>
      <c r="F119" s="517"/>
      <c r="G119" s="517"/>
      <c r="H119" s="517"/>
      <c r="I119" s="517"/>
      <c r="J119" s="517"/>
      <c r="K119" s="517"/>
      <c r="L119" s="517"/>
      <c r="M119" s="517"/>
      <c r="N119" s="517"/>
      <c r="O119" s="517"/>
      <c r="P119" s="517"/>
      <c r="Q119" s="517"/>
      <c r="R119" s="517"/>
      <c r="S119" s="517"/>
      <c r="T119" s="517"/>
      <c r="U119" s="517"/>
      <c r="V119" s="517"/>
      <c r="W119" s="517"/>
      <c r="X119" s="517"/>
      <c r="Y119" s="517"/>
      <c r="Z119" s="517"/>
      <c r="AA119" s="517"/>
      <c r="AB119" s="517"/>
      <c r="AC119" s="517"/>
      <c r="AD119" s="517"/>
    </row>
    <row r="120" spans="3:30">
      <c r="C120" s="517"/>
      <c r="D120" s="517"/>
      <c r="E120" s="517"/>
      <c r="F120" s="517"/>
      <c r="G120" s="517"/>
      <c r="H120" s="517"/>
      <c r="I120" s="517"/>
      <c r="J120" s="517"/>
      <c r="K120" s="517"/>
      <c r="L120" s="517"/>
      <c r="M120" s="517"/>
      <c r="N120" s="517"/>
      <c r="O120" s="517"/>
      <c r="P120" s="517"/>
      <c r="Q120" s="517"/>
      <c r="R120" s="517"/>
      <c r="S120" s="517"/>
      <c r="T120" s="517"/>
      <c r="U120" s="517"/>
      <c r="V120" s="517"/>
      <c r="W120" s="517"/>
      <c r="X120" s="517"/>
      <c r="Y120" s="517"/>
      <c r="Z120" s="517"/>
      <c r="AA120" s="517"/>
      <c r="AB120" s="517"/>
      <c r="AC120" s="517"/>
      <c r="AD120" s="517"/>
    </row>
    <row r="121" spans="3:30">
      <c r="C121" s="517"/>
      <c r="D121" s="517"/>
      <c r="E121" s="517"/>
      <c r="F121" s="517"/>
      <c r="G121" s="517"/>
      <c r="H121" s="517"/>
      <c r="I121" s="517"/>
      <c r="J121" s="517"/>
      <c r="K121" s="517"/>
      <c r="L121" s="517"/>
      <c r="M121" s="517"/>
      <c r="N121" s="517"/>
      <c r="O121" s="517"/>
      <c r="P121" s="517"/>
      <c r="Q121" s="517"/>
      <c r="R121" s="517"/>
      <c r="S121" s="517"/>
      <c r="T121" s="517"/>
      <c r="U121" s="517"/>
      <c r="V121" s="517"/>
      <c r="W121" s="517"/>
      <c r="X121" s="517"/>
      <c r="Y121" s="517"/>
      <c r="Z121" s="517"/>
      <c r="AA121" s="517"/>
      <c r="AB121" s="517"/>
      <c r="AC121" s="517"/>
      <c r="AD121" s="517"/>
    </row>
    <row r="122" spans="3:30">
      <c r="C122" s="517"/>
      <c r="D122" s="517"/>
      <c r="E122" s="517"/>
      <c r="F122" s="517"/>
      <c r="G122" s="517"/>
      <c r="H122" s="517"/>
      <c r="I122" s="517"/>
      <c r="J122" s="517"/>
      <c r="K122" s="517"/>
      <c r="L122" s="517"/>
      <c r="M122" s="517"/>
      <c r="N122" s="517"/>
      <c r="O122" s="517"/>
      <c r="P122" s="517"/>
      <c r="Q122" s="517"/>
      <c r="R122" s="517"/>
      <c r="S122" s="517"/>
      <c r="T122" s="517"/>
      <c r="U122" s="517"/>
      <c r="V122" s="517"/>
      <c r="W122" s="517"/>
      <c r="X122" s="517"/>
      <c r="Y122" s="517"/>
      <c r="Z122" s="517"/>
      <c r="AA122" s="517"/>
      <c r="AB122" s="517"/>
      <c r="AC122" s="517"/>
      <c r="AD122" s="517"/>
    </row>
    <row r="123" spans="3:30">
      <c r="C123" s="517"/>
      <c r="D123" s="517"/>
      <c r="E123" s="517"/>
      <c r="F123" s="517"/>
      <c r="G123" s="517"/>
      <c r="H123" s="517"/>
      <c r="I123" s="517"/>
      <c r="J123" s="517"/>
      <c r="K123" s="517"/>
      <c r="L123" s="517"/>
      <c r="M123" s="517"/>
      <c r="N123" s="517"/>
      <c r="O123" s="517"/>
      <c r="P123" s="517"/>
      <c r="Q123" s="517"/>
      <c r="R123" s="517"/>
      <c r="S123" s="517"/>
      <c r="T123" s="517"/>
      <c r="U123" s="517"/>
      <c r="V123" s="517"/>
      <c r="W123" s="517"/>
      <c r="X123" s="517"/>
      <c r="Y123" s="517"/>
      <c r="Z123" s="517"/>
      <c r="AA123" s="517"/>
      <c r="AB123" s="517"/>
      <c r="AC123" s="517"/>
      <c r="AD123" s="517"/>
    </row>
    <row r="124" spans="3:30">
      <c r="C124" s="517"/>
      <c r="D124" s="517"/>
      <c r="E124" s="517"/>
      <c r="F124" s="517"/>
      <c r="G124" s="517"/>
      <c r="H124" s="517"/>
      <c r="I124" s="517"/>
      <c r="J124" s="517"/>
      <c r="K124" s="517"/>
      <c r="L124" s="517"/>
      <c r="M124" s="517"/>
      <c r="N124" s="517"/>
      <c r="O124" s="517"/>
      <c r="P124" s="517"/>
      <c r="Q124" s="517"/>
      <c r="R124" s="517"/>
      <c r="S124" s="517"/>
      <c r="T124" s="517"/>
      <c r="U124" s="517"/>
      <c r="V124" s="517"/>
      <c r="W124" s="517"/>
      <c r="X124" s="517"/>
      <c r="Y124" s="517"/>
      <c r="Z124" s="517"/>
      <c r="AA124" s="517"/>
      <c r="AB124" s="517"/>
      <c r="AC124" s="517"/>
      <c r="AD124" s="517"/>
    </row>
    <row r="125" spans="3:30">
      <c r="C125" s="517"/>
      <c r="D125" s="517"/>
      <c r="E125" s="517"/>
      <c r="F125" s="517"/>
      <c r="G125" s="517"/>
      <c r="H125" s="517"/>
      <c r="I125" s="517"/>
      <c r="J125" s="517"/>
      <c r="K125" s="517"/>
      <c r="L125" s="517"/>
      <c r="M125" s="517"/>
      <c r="N125" s="517"/>
      <c r="O125" s="517"/>
      <c r="P125" s="517"/>
      <c r="Q125" s="517"/>
      <c r="R125" s="517"/>
      <c r="S125" s="517"/>
      <c r="T125" s="517"/>
      <c r="U125" s="517"/>
      <c r="V125" s="517"/>
      <c r="W125" s="517"/>
      <c r="X125" s="517"/>
      <c r="Y125" s="517"/>
      <c r="Z125" s="517"/>
      <c r="AA125" s="517"/>
      <c r="AB125" s="517"/>
      <c r="AC125" s="517"/>
      <c r="AD125" s="517"/>
    </row>
    <row r="126" spans="3:30">
      <c r="C126" s="517"/>
      <c r="D126" s="517"/>
      <c r="E126" s="517"/>
      <c r="F126" s="517"/>
      <c r="G126" s="517"/>
      <c r="H126" s="517"/>
      <c r="I126" s="517"/>
      <c r="J126" s="517"/>
      <c r="K126" s="517"/>
      <c r="L126" s="517"/>
      <c r="M126" s="517"/>
      <c r="N126" s="517"/>
      <c r="O126" s="517"/>
      <c r="P126" s="517"/>
      <c r="Q126" s="517"/>
      <c r="R126" s="517"/>
      <c r="S126" s="517"/>
      <c r="T126" s="517"/>
      <c r="U126" s="517"/>
      <c r="V126" s="517"/>
      <c r="W126" s="517"/>
      <c r="X126" s="517"/>
      <c r="Y126" s="517"/>
      <c r="Z126" s="517"/>
      <c r="AA126" s="517"/>
      <c r="AB126" s="517"/>
      <c r="AC126" s="517"/>
      <c r="AD126" s="517"/>
    </row>
    <row r="127" spans="3:30">
      <c r="C127" s="517"/>
      <c r="D127" s="517"/>
      <c r="E127" s="517"/>
      <c r="F127" s="517"/>
      <c r="G127" s="517"/>
      <c r="H127" s="517"/>
      <c r="I127" s="517"/>
      <c r="J127" s="517"/>
      <c r="K127" s="517"/>
      <c r="L127" s="517"/>
      <c r="M127" s="517"/>
      <c r="N127" s="517"/>
      <c r="O127" s="517"/>
      <c r="P127" s="517"/>
      <c r="Q127" s="517"/>
      <c r="R127" s="517"/>
      <c r="S127" s="517"/>
      <c r="T127" s="517"/>
      <c r="U127" s="517"/>
      <c r="V127" s="517"/>
      <c r="W127" s="517"/>
      <c r="X127" s="517"/>
      <c r="Y127" s="517"/>
      <c r="Z127" s="517"/>
      <c r="AA127" s="517"/>
      <c r="AB127" s="517"/>
      <c r="AC127" s="517"/>
      <c r="AD127" s="517"/>
    </row>
    <row r="128" spans="3:30">
      <c r="C128" s="517"/>
      <c r="D128" s="517"/>
      <c r="E128" s="517"/>
      <c r="F128" s="517"/>
      <c r="G128" s="517"/>
      <c r="H128" s="517"/>
      <c r="I128" s="517"/>
      <c r="J128" s="517"/>
      <c r="K128" s="517"/>
      <c r="L128" s="517"/>
      <c r="M128" s="517"/>
      <c r="N128" s="517"/>
      <c r="O128" s="517"/>
      <c r="P128" s="517"/>
      <c r="Q128" s="517"/>
      <c r="R128" s="517"/>
      <c r="S128" s="517"/>
      <c r="T128" s="517"/>
      <c r="U128" s="517"/>
      <c r="V128" s="517"/>
      <c r="W128" s="517"/>
      <c r="X128" s="517"/>
      <c r="Y128" s="517"/>
      <c r="Z128" s="517"/>
      <c r="AA128" s="517"/>
      <c r="AB128" s="517"/>
      <c r="AC128" s="517"/>
      <c r="AD128" s="517"/>
    </row>
    <row r="129" spans="3:30">
      <c r="C129" s="517"/>
      <c r="D129" s="517"/>
      <c r="E129" s="517"/>
      <c r="F129" s="517"/>
      <c r="G129" s="517"/>
      <c r="H129" s="517"/>
      <c r="I129" s="517"/>
      <c r="J129" s="517"/>
      <c r="K129" s="517"/>
      <c r="L129" s="517"/>
      <c r="M129" s="517"/>
      <c r="N129" s="517"/>
      <c r="O129" s="517"/>
      <c r="P129" s="517"/>
      <c r="Q129" s="517"/>
      <c r="R129" s="517"/>
      <c r="S129" s="517"/>
      <c r="T129" s="517"/>
      <c r="U129" s="517"/>
      <c r="V129" s="517"/>
      <c r="W129" s="517"/>
      <c r="X129" s="517"/>
      <c r="Y129" s="517"/>
      <c r="Z129" s="517"/>
      <c r="AA129" s="517"/>
      <c r="AB129" s="517"/>
      <c r="AC129" s="517"/>
      <c r="AD129" s="517"/>
    </row>
    <row r="130" spans="3:30">
      <c r="C130" s="517"/>
      <c r="D130" s="517"/>
      <c r="E130" s="517"/>
      <c r="F130" s="517"/>
      <c r="G130" s="517"/>
      <c r="H130" s="517"/>
      <c r="I130" s="517"/>
      <c r="J130" s="517"/>
      <c r="K130" s="517"/>
      <c r="L130" s="517"/>
      <c r="M130" s="517"/>
      <c r="N130" s="517"/>
      <c r="O130" s="517"/>
      <c r="P130" s="517"/>
      <c r="Q130" s="517"/>
      <c r="R130" s="517"/>
      <c r="S130" s="517"/>
      <c r="T130" s="517"/>
      <c r="U130" s="517"/>
      <c r="V130" s="517"/>
      <c r="W130" s="517"/>
      <c r="X130" s="517"/>
      <c r="Y130" s="517"/>
      <c r="Z130" s="517"/>
      <c r="AA130" s="517"/>
      <c r="AB130" s="517"/>
      <c r="AC130" s="517"/>
      <c r="AD130" s="517"/>
    </row>
    <row r="131" spans="3:30">
      <c r="C131" s="517"/>
      <c r="D131" s="517"/>
      <c r="E131" s="517"/>
      <c r="F131" s="517"/>
      <c r="G131" s="517"/>
      <c r="H131" s="517"/>
      <c r="I131" s="517"/>
      <c r="J131" s="517"/>
      <c r="K131" s="517"/>
      <c r="L131" s="517"/>
      <c r="M131" s="517"/>
      <c r="N131" s="517"/>
      <c r="O131" s="517"/>
      <c r="P131" s="517"/>
      <c r="Q131" s="517"/>
      <c r="R131" s="517"/>
      <c r="S131" s="517"/>
      <c r="T131" s="517"/>
      <c r="U131" s="517"/>
      <c r="V131" s="517"/>
      <c r="W131" s="517"/>
      <c r="X131" s="517"/>
      <c r="Y131" s="517"/>
      <c r="Z131" s="517"/>
      <c r="AA131" s="517"/>
      <c r="AB131" s="517"/>
      <c r="AC131" s="517"/>
      <c r="AD131" s="517"/>
    </row>
    <row r="132" spans="3:30">
      <c r="C132" s="517"/>
      <c r="D132" s="517"/>
      <c r="E132" s="517"/>
      <c r="F132" s="517"/>
      <c r="G132" s="517"/>
      <c r="H132" s="517"/>
      <c r="I132" s="517"/>
      <c r="J132" s="517"/>
      <c r="K132" s="517"/>
      <c r="L132" s="517"/>
      <c r="M132" s="517"/>
      <c r="N132" s="517"/>
      <c r="O132" s="517"/>
      <c r="P132" s="517"/>
      <c r="Q132" s="517"/>
      <c r="R132" s="517"/>
      <c r="S132" s="517"/>
      <c r="T132" s="517"/>
      <c r="U132" s="517"/>
      <c r="V132" s="517"/>
      <c r="W132" s="517"/>
      <c r="X132" s="517"/>
      <c r="Y132" s="517"/>
      <c r="Z132" s="517"/>
      <c r="AA132" s="517"/>
      <c r="AB132" s="517"/>
      <c r="AC132" s="517"/>
      <c r="AD132" s="517"/>
    </row>
    <row r="133" spans="3:30">
      <c r="C133" s="517"/>
      <c r="D133" s="517"/>
      <c r="E133" s="517"/>
      <c r="F133" s="517"/>
      <c r="G133" s="517"/>
      <c r="H133" s="517"/>
      <c r="I133" s="517"/>
      <c r="J133" s="517"/>
      <c r="K133" s="517"/>
      <c r="L133" s="517"/>
      <c r="M133" s="517"/>
      <c r="N133" s="517"/>
      <c r="O133" s="517"/>
      <c r="P133" s="517"/>
      <c r="Q133" s="517"/>
      <c r="R133" s="517"/>
      <c r="S133" s="517"/>
      <c r="T133" s="517"/>
      <c r="U133" s="517"/>
      <c r="V133" s="517"/>
      <c r="W133" s="517"/>
      <c r="X133" s="517"/>
      <c r="Y133" s="517"/>
      <c r="Z133" s="517"/>
      <c r="AA133" s="517"/>
      <c r="AB133" s="517"/>
      <c r="AC133" s="517"/>
      <c r="AD133" s="517"/>
    </row>
    <row r="134" spans="3:30">
      <c r="C134" s="517"/>
      <c r="D134" s="517"/>
      <c r="E134" s="517"/>
      <c r="F134" s="517"/>
      <c r="G134" s="517"/>
      <c r="H134" s="517"/>
      <c r="I134" s="517"/>
      <c r="J134" s="517"/>
      <c r="K134" s="517"/>
      <c r="L134" s="517"/>
      <c r="M134" s="517"/>
      <c r="N134" s="517"/>
      <c r="O134" s="517"/>
      <c r="P134" s="517"/>
      <c r="Q134" s="517"/>
      <c r="R134" s="517"/>
      <c r="S134" s="517"/>
      <c r="T134" s="517"/>
      <c r="U134" s="517"/>
      <c r="V134" s="517"/>
      <c r="W134" s="517"/>
      <c r="X134" s="517"/>
      <c r="Y134" s="517"/>
      <c r="Z134" s="517"/>
      <c r="AA134" s="517"/>
      <c r="AB134" s="517"/>
      <c r="AC134" s="517"/>
      <c r="AD134" s="517"/>
    </row>
    <row r="135" spans="3:30">
      <c r="C135" s="517"/>
      <c r="D135" s="517"/>
      <c r="E135" s="517"/>
      <c r="F135" s="517"/>
      <c r="G135" s="517"/>
      <c r="H135" s="517"/>
      <c r="I135" s="517"/>
      <c r="J135" s="517"/>
      <c r="K135" s="517"/>
      <c r="L135" s="517"/>
      <c r="M135" s="517"/>
      <c r="N135" s="517"/>
      <c r="O135" s="517"/>
      <c r="P135" s="517"/>
      <c r="Q135" s="517"/>
      <c r="R135" s="517"/>
      <c r="S135" s="517"/>
      <c r="T135" s="517"/>
      <c r="U135" s="517"/>
      <c r="V135" s="517"/>
      <c r="W135" s="517"/>
      <c r="X135" s="517"/>
      <c r="Y135" s="517"/>
      <c r="Z135" s="517"/>
      <c r="AA135" s="517"/>
      <c r="AB135" s="517"/>
      <c r="AC135" s="517"/>
      <c r="AD135" s="517"/>
    </row>
    <row r="136" spans="3:30">
      <c r="C136" s="517"/>
      <c r="D136" s="517"/>
      <c r="E136" s="517"/>
      <c r="F136" s="517"/>
      <c r="G136" s="517"/>
      <c r="H136" s="517"/>
      <c r="I136" s="517"/>
      <c r="J136" s="517"/>
      <c r="K136" s="517"/>
      <c r="L136" s="517"/>
      <c r="M136" s="517"/>
      <c r="N136" s="517"/>
      <c r="O136" s="517"/>
      <c r="P136" s="517"/>
      <c r="Q136" s="517"/>
      <c r="R136" s="517"/>
      <c r="S136" s="517"/>
      <c r="T136" s="517"/>
      <c r="U136" s="517"/>
      <c r="V136" s="517"/>
      <c r="W136" s="517"/>
      <c r="X136" s="517"/>
      <c r="Y136" s="517"/>
      <c r="Z136" s="517"/>
      <c r="AA136" s="517"/>
      <c r="AB136" s="517"/>
      <c r="AC136" s="517"/>
      <c r="AD136" s="517"/>
    </row>
    <row r="137" spans="3:30">
      <c r="C137" s="517"/>
      <c r="D137" s="517"/>
      <c r="E137" s="517"/>
      <c r="F137" s="517"/>
      <c r="G137" s="517"/>
      <c r="H137" s="517"/>
      <c r="I137" s="517"/>
      <c r="J137" s="517"/>
      <c r="K137" s="517"/>
      <c r="L137" s="517"/>
      <c r="M137" s="517"/>
      <c r="N137" s="517"/>
      <c r="O137" s="517"/>
      <c r="P137" s="517"/>
      <c r="Q137" s="517"/>
      <c r="R137" s="517"/>
      <c r="S137" s="517"/>
      <c r="T137" s="517"/>
      <c r="U137" s="517"/>
      <c r="V137" s="517"/>
      <c r="W137" s="517"/>
      <c r="X137" s="517"/>
      <c r="Y137" s="517"/>
      <c r="Z137" s="517"/>
      <c r="AA137" s="517"/>
      <c r="AB137" s="517"/>
      <c r="AC137" s="517"/>
      <c r="AD137" s="517"/>
    </row>
    <row r="138" spans="3:30">
      <c r="C138" s="517"/>
      <c r="D138" s="517"/>
      <c r="E138" s="517"/>
      <c r="F138" s="517"/>
      <c r="G138" s="517"/>
      <c r="H138" s="517"/>
      <c r="I138" s="517"/>
      <c r="J138" s="517"/>
      <c r="K138" s="517"/>
      <c r="L138" s="517"/>
      <c r="M138" s="517"/>
      <c r="N138" s="517"/>
      <c r="O138" s="517"/>
      <c r="P138" s="517"/>
      <c r="Q138" s="517"/>
      <c r="R138" s="517"/>
      <c r="S138" s="517"/>
      <c r="T138" s="517"/>
      <c r="U138" s="517"/>
      <c r="V138" s="517"/>
      <c r="W138" s="517"/>
      <c r="X138" s="517"/>
      <c r="Y138" s="517"/>
      <c r="Z138" s="517"/>
      <c r="AA138" s="517"/>
      <c r="AB138" s="517"/>
      <c r="AC138" s="517"/>
      <c r="AD138" s="517"/>
    </row>
    <row r="139" spans="3:30">
      <c r="C139" s="517"/>
      <c r="D139" s="517"/>
      <c r="E139" s="517"/>
      <c r="F139" s="517"/>
      <c r="G139" s="517"/>
      <c r="H139" s="517"/>
      <c r="I139" s="517"/>
      <c r="J139" s="517"/>
      <c r="K139" s="517"/>
      <c r="L139" s="517"/>
      <c r="M139" s="517"/>
      <c r="N139" s="517"/>
      <c r="O139" s="517"/>
      <c r="P139" s="517"/>
      <c r="Q139" s="517"/>
      <c r="R139" s="517"/>
      <c r="S139" s="517"/>
      <c r="T139" s="517"/>
      <c r="U139" s="517"/>
      <c r="V139" s="517"/>
      <c r="W139" s="517"/>
      <c r="X139" s="517"/>
      <c r="Y139" s="517"/>
      <c r="Z139" s="517"/>
      <c r="AA139" s="517"/>
      <c r="AB139" s="517"/>
      <c r="AC139" s="517"/>
      <c r="AD139" s="517"/>
    </row>
    <row r="140" spans="3:30">
      <c r="C140" s="517"/>
      <c r="D140" s="517"/>
      <c r="E140" s="517"/>
      <c r="F140" s="517"/>
      <c r="G140" s="517"/>
      <c r="H140" s="517"/>
      <c r="I140" s="517"/>
      <c r="J140" s="517"/>
      <c r="K140" s="517"/>
      <c r="L140" s="517"/>
      <c r="M140" s="517"/>
      <c r="N140" s="517"/>
      <c r="O140" s="517"/>
      <c r="P140" s="517"/>
      <c r="Q140" s="517"/>
      <c r="R140" s="517"/>
      <c r="S140" s="517"/>
      <c r="T140" s="517"/>
      <c r="U140" s="517"/>
      <c r="V140" s="517"/>
      <c r="W140" s="517"/>
      <c r="X140" s="517"/>
      <c r="Y140" s="517"/>
      <c r="Z140" s="517"/>
      <c r="AA140" s="517"/>
      <c r="AB140" s="517"/>
      <c r="AC140" s="517"/>
      <c r="AD140" s="517"/>
    </row>
    <row r="141" spans="3:30">
      <c r="C141" s="517"/>
      <c r="D141" s="517"/>
      <c r="E141" s="517"/>
      <c r="F141" s="517"/>
      <c r="G141" s="517"/>
      <c r="H141" s="517"/>
      <c r="I141" s="517"/>
      <c r="J141" s="517"/>
      <c r="K141" s="517"/>
      <c r="L141" s="517"/>
      <c r="M141" s="517"/>
      <c r="N141" s="517"/>
      <c r="O141" s="517"/>
      <c r="P141" s="517"/>
      <c r="Q141" s="517"/>
      <c r="R141" s="517"/>
      <c r="S141" s="517"/>
      <c r="T141" s="517"/>
      <c r="U141" s="517"/>
      <c r="V141" s="517"/>
      <c r="W141" s="517"/>
      <c r="X141" s="517"/>
      <c r="Y141" s="517"/>
      <c r="Z141" s="517"/>
      <c r="AA141" s="517"/>
      <c r="AB141" s="517"/>
      <c r="AC141" s="517"/>
      <c r="AD141" s="517"/>
    </row>
    <row r="142" spans="3:30">
      <c r="C142" s="517"/>
      <c r="D142" s="517"/>
      <c r="E142" s="517"/>
      <c r="F142" s="517"/>
      <c r="G142" s="517"/>
      <c r="H142" s="517"/>
      <c r="I142" s="517"/>
      <c r="J142" s="517"/>
      <c r="K142" s="517"/>
      <c r="L142" s="517"/>
      <c r="M142" s="517"/>
      <c r="N142" s="517"/>
      <c r="O142" s="517"/>
      <c r="P142" s="517"/>
      <c r="Q142" s="517"/>
      <c r="R142" s="517"/>
      <c r="S142" s="517"/>
      <c r="T142" s="517"/>
      <c r="U142" s="517"/>
      <c r="V142" s="517"/>
      <c r="W142" s="517"/>
      <c r="X142" s="517"/>
      <c r="Y142" s="517"/>
      <c r="Z142" s="517"/>
      <c r="AA142" s="517"/>
      <c r="AB142" s="517"/>
      <c r="AC142" s="517"/>
      <c r="AD142" s="517"/>
    </row>
    <row r="143" spans="3:30">
      <c r="C143" s="517"/>
      <c r="D143" s="517"/>
      <c r="E143" s="517"/>
      <c r="F143" s="517"/>
      <c r="G143" s="517"/>
      <c r="H143" s="517"/>
      <c r="I143" s="517"/>
      <c r="J143" s="517"/>
      <c r="K143" s="517"/>
      <c r="L143" s="517"/>
      <c r="M143" s="517"/>
      <c r="N143" s="517"/>
      <c r="O143" s="517"/>
      <c r="P143" s="517"/>
      <c r="Q143" s="517"/>
      <c r="R143" s="517"/>
      <c r="S143" s="517"/>
      <c r="T143" s="517"/>
      <c r="U143" s="517"/>
      <c r="V143" s="517"/>
      <c r="W143" s="517"/>
      <c r="X143" s="517"/>
      <c r="Y143" s="517"/>
      <c r="Z143" s="517"/>
      <c r="AA143" s="517"/>
      <c r="AB143" s="517"/>
      <c r="AC143" s="517"/>
      <c r="AD143" s="517"/>
    </row>
    <row r="144" spans="3:30">
      <c r="C144" s="517"/>
      <c r="D144" s="517"/>
      <c r="E144" s="517"/>
      <c r="F144" s="517"/>
      <c r="G144" s="517"/>
      <c r="H144" s="517"/>
      <c r="I144" s="517"/>
      <c r="J144" s="517"/>
      <c r="K144" s="517"/>
      <c r="L144" s="517"/>
      <c r="M144" s="517"/>
      <c r="N144" s="517"/>
      <c r="O144" s="517"/>
      <c r="P144" s="517"/>
      <c r="Q144" s="517"/>
      <c r="R144" s="517"/>
      <c r="S144" s="517"/>
      <c r="T144" s="517"/>
      <c r="U144" s="517"/>
      <c r="V144" s="517"/>
      <c r="W144" s="517"/>
      <c r="X144" s="517"/>
      <c r="Y144" s="517"/>
      <c r="Z144" s="517"/>
      <c r="AA144" s="517"/>
      <c r="AB144" s="517"/>
      <c r="AC144" s="517"/>
      <c r="AD144" s="517"/>
    </row>
    <row r="145" spans="3:30">
      <c r="C145" s="517"/>
      <c r="D145" s="517"/>
      <c r="E145" s="517"/>
      <c r="F145" s="517"/>
      <c r="G145" s="517"/>
      <c r="H145" s="517"/>
      <c r="I145" s="517"/>
      <c r="J145" s="517"/>
      <c r="K145" s="517"/>
      <c r="L145" s="517"/>
      <c r="M145" s="517"/>
      <c r="N145" s="517"/>
      <c r="O145" s="517"/>
      <c r="P145" s="517"/>
      <c r="Q145" s="517"/>
      <c r="R145" s="517"/>
      <c r="S145" s="517"/>
      <c r="T145" s="517"/>
      <c r="U145" s="517"/>
      <c r="V145" s="517"/>
      <c r="W145" s="517"/>
      <c r="X145" s="517"/>
      <c r="Y145" s="517"/>
      <c r="Z145" s="517"/>
      <c r="AA145" s="517"/>
      <c r="AB145" s="517"/>
      <c r="AC145" s="517"/>
      <c r="AD145" s="517"/>
    </row>
    <row r="146" spans="3:30">
      <c r="C146" s="517"/>
      <c r="D146" s="517"/>
      <c r="E146" s="517"/>
      <c r="F146" s="517"/>
      <c r="G146" s="517"/>
      <c r="H146" s="517"/>
      <c r="I146" s="517"/>
      <c r="J146" s="517"/>
      <c r="K146" s="517"/>
      <c r="L146" s="517"/>
      <c r="M146" s="517"/>
      <c r="N146" s="517"/>
      <c r="O146" s="517"/>
      <c r="P146" s="517"/>
      <c r="Q146" s="517"/>
      <c r="R146" s="517"/>
      <c r="S146" s="517"/>
      <c r="T146" s="517"/>
      <c r="U146" s="517"/>
      <c r="V146" s="517"/>
      <c r="W146" s="517"/>
      <c r="X146" s="517"/>
      <c r="Y146" s="517"/>
      <c r="Z146" s="517"/>
      <c r="AA146" s="517"/>
      <c r="AB146" s="517"/>
      <c r="AC146" s="517"/>
      <c r="AD146" s="517"/>
    </row>
    <row r="147" spans="3:30">
      <c r="C147" s="517"/>
      <c r="D147" s="517"/>
      <c r="E147" s="517"/>
      <c r="F147" s="517"/>
      <c r="G147" s="517"/>
      <c r="H147" s="517"/>
      <c r="I147" s="517"/>
      <c r="J147" s="517"/>
      <c r="K147" s="517"/>
      <c r="L147" s="517"/>
      <c r="M147" s="517"/>
      <c r="N147" s="517"/>
      <c r="O147" s="517"/>
      <c r="P147" s="517"/>
      <c r="Q147" s="517"/>
      <c r="R147" s="517"/>
      <c r="S147" s="517"/>
      <c r="T147" s="517"/>
      <c r="U147" s="517"/>
      <c r="V147" s="517"/>
      <c r="W147" s="517"/>
      <c r="X147" s="517"/>
      <c r="Y147" s="517"/>
      <c r="Z147" s="517"/>
      <c r="AA147" s="517"/>
      <c r="AB147" s="517"/>
      <c r="AC147" s="517"/>
      <c r="AD147" s="517"/>
    </row>
    <row r="148" spans="3:30">
      <c r="C148" s="517"/>
      <c r="D148" s="517"/>
      <c r="E148" s="517"/>
      <c r="F148" s="517"/>
      <c r="G148" s="517"/>
      <c r="H148" s="517"/>
      <c r="I148" s="517"/>
      <c r="J148" s="517"/>
      <c r="K148" s="517"/>
      <c r="L148" s="517"/>
      <c r="M148" s="517"/>
      <c r="N148" s="517"/>
      <c r="O148" s="517"/>
      <c r="P148" s="517"/>
      <c r="Q148" s="517"/>
      <c r="R148" s="517"/>
      <c r="S148" s="517"/>
      <c r="T148" s="517"/>
      <c r="U148" s="517"/>
      <c r="V148" s="517"/>
      <c r="W148" s="517"/>
      <c r="X148" s="517"/>
      <c r="Y148" s="517"/>
      <c r="Z148" s="517"/>
      <c r="AA148" s="517"/>
      <c r="AB148" s="517"/>
      <c r="AC148" s="517"/>
      <c r="AD148" s="517"/>
    </row>
    <row r="149" spans="3:30">
      <c r="C149" s="517"/>
      <c r="D149" s="517"/>
      <c r="E149" s="517"/>
      <c r="F149" s="517"/>
      <c r="G149" s="517"/>
      <c r="H149" s="517"/>
      <c r="I149" s="517"/>
      <c r="J149" s="517"/>
      <c r="K149" s="517"/>
      <c r="L149" s="517"/>
      <c r="M149" s="517"/>
      <c r="N149" s="517"/>
      <c r="O149" s="517"/>
      <c r="P149" s="517"/>
      <c r="Q149" s="517"/>
      <c r="R149" s="517"/>
      <c r="S149" s="517"/>
      <c r="T149" s="517"/>
      <c r="U149" s="517"/>
      <c r="V149" s="517"/>
      <c r="W149" s="517"/>
      <c r="X149" s="517"/>
      <c r="Y149" s="517"/>
      <c r="Z149" s="517"/>
      <c r="AA149" s="517"/>
      <c r="AB149" s="517"/>
      <c r="AC149" s="517"/>
      <c r="AD149" s="517"/>
    </row>
    <row r="150" spans="3:30">
      <c r="C150" s="517"/>
      <c r="D150" s="517"/>
      <c r="E150" s="517"/>
      <c r="F150" s="517"/>
      <c r="G150" s="517"/>
      <c r="H150" s="517"/>
      <c r="I150" s="517"/>
      <c r="J150" s="517"/>
      <c r="K150" s="517"/>
      <c r="L150" s="517"/>
      <c r="M150" s="517"/>
      <c r="N150" s="517"/>
      <c r="O150" s="517"/>
      <c r="P150" s="517"/>
      <c r="Q150" s="517"/>
      <c r="R150" s="517"/>
      <c r="S150" s="517"/>
      <c r="T150" s="517"/>
      <c r="U150" s="517"/>
      <c r="V150" s="517"/>
      <c r="W150" s="517"/>
      <c r="X150" s="517"/>
      <c r="Y150" s="517"/>
      <c r="Z150" s="517"/>
      <c r="AA150" s="517"/>
      <c r="AB150" s="517"/>
      <c r="AC150" s="517"/>
      <c r="AD150" s="517"/>
    </row>
    <row r="151" spans="3:30">
      <c r="C151" s="517"/>
      <c r="D151" s="517"/>
      <c r="E151" s="517"/>
      <c r="F151" s="517"/>
      <c r="G151" s="517"/>
      <c r="H151" s="517"/>
      <c r="I151" s="517"/>
      <c r="J151" s="517"/>
      <c r="K151" s="517"/>
      <c r="L151" s="517"/>
      <c r="M151" s="517"/>
      <c r="N151" s="517"/>
      <c r="O151" s="517"/>
      <c r="P151" s="517"/>
      <c r="Q151" s="517"/>
      <c r="R151" s="517"/>
      <c r="S151" s="517"/>
      <c r="T151" s="517"/>
      <c r="U151" s="517"/>
      <c r="V151" s="517"/>
      <c r="W151" s="517"/>
      <c r="X151" s="517"/>
      <c r="Y151" s="517"/>
      <c r="Z151" s="517"/>
      <c r="AA151" s="517"/>
      <c r="AB151" s="517"/>
      <c r="AC151" s="517"/>
      <c r="AD151" s="517"/>
    </row>
    <row r="152" spans="3:30">
      <c r="C152" s="517"/>
      <c r="D152" s="517"/>
      <c r="E152" s="517"/>
      <c r="F152" s="517"/>
      <c r="G152" s="517"/>
      <c r="H152" s="517"/>
      <c r="I152" s="517"/>
      <c r="J152" s="517"/>
      <c r="K152" s="517"/>
      <c r="L152" s="517"/>
      <c r="M152" s="517"/>
      <c r="N152" s="517"/>
      <c r="O152" s="517"/>
      <c r="P152" s="517"/>
      <c r="Q152" s="517"/>
      <c r="R152" s="517"/>
      <c r="S152" s="517"/>
      <c r="T152" s="517"/>
      <c r="U152" s="517"/>
      <c r="V152" s="517"/>
      <c r="W152" s="517"/>
      <c r="X152" s="517"/>
      <c r="Y152" s="517"/>
      <c r="Z152" s="517"/>
      <c r="AA152" s="517"/>
      <c r="AB152" s="517"/>
      <c r="AC152" s="517"/>
      <c r="AD152" s="517"/>
    </row>
    <row r="153" spans="3:30">
      <c r="C153" s="517"/>
      <c r="D153" s="517"/>
      <c r="E153" s="517"/>
      <c r="F153" s="517"/>
      <c r="G153" s="517"/>
      <c r="H153" s="517"/>
      <c r="I153" s="517"/>
      <c r="J153" s="517"/>
      <c r="K153" s="517"/>
      <c r="L153" s="517"/>
      <c r="M153" s="517"/>
      <c r="N153" s="517"/>
      <c r="O153" s="517"/>
      <c r="P153" s="517"/>
      <c r="Q153" s="517"/>
      <c r="R153" s="517"/>
      <c r="S153" s="517"/>
      <c r="T153" s="517"/>
      <c r="U153" s="517"/>
      <c r="V153" s="517"/>
      <c r="W153" s="517"/>
      <c r="X153" s="517"/>
      <c r="Y153" s="517"/>
      <c r="Z153" s="517"/>
      <c r="AA153" s="517"/>
      <c r="AB153" s="517"/>
      <c r="AC153" s="517"/>
      <c r="AD153" s="517"/>
    </row>
    <row r="154" spans="3:30">
      <c r="C154" s="517"/>
      <c r="D154" s="517"/>
      <c r="E154" s="517"/>
      <c r="F154" s="517"/>
      <c r="G154" s="517"/>
      <c r="H154" s="517"/>
      <c r="I154" s="517"/>
      <c r="J154" s="517"/>
      <c r="K154" s="517"/>
      <c r="L154" s="517"/>
      <c r="M154" s="517"/>
      <c r="N154" s="517"/>
      <c r="O154" s="517"/>
      <c r="P154" s="517"/>
      <c r="Q154" s="517"/>
      <c r="R154" s="517"/>
      <c r="S154" s="517"/>
      <c r="T154" s="517"/>
      <c r="U154" s="517"/>
      <c r="V154" s="517"/>
      <c r="W154" s="517"/>
      <c r="X154" s="517"/>
      <c r="Y154" s="517"/>
      <c r="Z154" s="517"/>
      <c r="AA154" s="517"/>
      <c r="AB154" s="517"/>
      <c r="AC154" s="517"/>
      <c r="AD154" s="517"/>
    </row>
    <row r="155" spans="3:30">
      <c r="C155" s="517"/>
      <c r="D155" s="517"/>
      <c r="E155" s="517"/>
      <c r="F155" s="517"/>
      <c r="G155" s="517"/>
      <c r="H155" s="517"/>
      <c r="I155" s="517"/>
      <c r="J155" s="517"/>
      <c r="K155" s="517"/>
      <c r="L155" s="517"/>
      <c r="M155" s="517"/>
      <c r="N155" s="517"/>
      <c r="O155" s="517"/>
      <c r="P155" s="517"/>
      <c r="Q155" s="517"/>
      <c r="R155" s="517"/>
      <c r="S155" s="517"/>
      <c r="T155" s="517"/>
      <c r="U155" s="517"/>
      <c r="V155" s="517"/>
      <c r="W155" s="517"/>
      <c r="X155" s="517"/>
      <c r="Y155" s="517"/>
      <c r="Z155" s="517"/>
      <c r="AA155" s="517"/>
      <c r="AB155" s="517"/>
      <c r="AC155" s="517"/>
      <c r="AD155" s="517"/>
    </row>
    <row r="156" spans="3:30">
      <c r="C156" s="517"/>
      <c r="D156" s="517"/>
      <c r="E156" s="517"/>
      <c r="F156" s="517"/>
      <c r="G156" s="517"/>
      <c r="H156" s="517"/>
      <c r="I156" s="517"/>
      <c r="J156" s="517"/>
      <c r="K156" s="517"/>
      <c r="L156" s="517"/>
      <c r="M156" s="517"/>
      <c r="N156" s="517"/>
      <c r="O156" s="517"/>
      <c r="P156" s="517"/>
      <c r="Q156" s="517"/>
      <c r="R156" s="517"/>
      <c r="S156" s="517"/>
      <c r="T156" s="517"/>
      <c r="U156" s="517"/>
      <c r="V156" s="517"/>
      <c r="W156" s="517"/>
      <c r="X156" s="517"/>
      <c r="Y156" s="517"/>
      <c r="Z156" s="517"/>
      <c r="AA156" s="517"/>
      <c r="AB156" s="517"/>
      <c r="AC156" s="517"/>
      <c r="AD156" s="517"/>
    </row>
    <row r="157" spans="3:30">
      <c r="C157" s="517"/>
      <c r="D157" s="517"/>
      <c r="E157" s="517"/>
      <c r="F157" s="517"/>
      <c r="G157" s="517"/>
      <c r="H157" s="517"/>
      <c r="I157" s="517"/>
      <c r="J157" s="517"/>
      <c r="K157" s="517"/>
      <c r="L157" s="517"/>
      <c r="M157" s="517"/>
      <c r="N157" s="517"/>
      <c r="O157" s="517"/>
      <c r="P157" s="517"/>
      <c r="Q157" s="517"/>
      <c r="R157" s="517"/>
      <c r="S157" s="517"/>
      <c r="T157" s="517"/>
      <c r="U157" s="517"/>
      <c r="V157" s="517"/>
      <c r="W157" s="517"/>
      <c r="X157" s="517"/>
      <c r="Y157" s="517"/>
      <c r="Z157" s="517"/>
      <c r="AA157" s="517"/>
      <c r="AB157" s="517"/>
      <c r="AC157" s="517"/>
      <c r="AD157" s="517"/>
    </row>
    <row r="158" spans="3:30">
      <c r="C158" s="517"/>
      <c r="D158" s="517"/>
      <c r="E158" s="517"/>
      <c r="F158" s="517"/>
      <c r="G158" s="517"/>
      <c r="H158" s="517"/>
      <c r="I158" s="517"/>
      <c r="J158" s="517"/>
      <c r="K158" s="517"/>
      <c r="L158" s="517"/>
      <c r="M158" s="517"/>
      <c r="N158" s="517"/>
      <c r="O158" s="517"/>
      <c r="P158" s="517"/>
      <c r="Q158" s="517"/>
      <c r="R158" s="517"/>
      <c r="S158" s="517"/>
      <c r="T158" s="517"/>
      <c r="U158" s="517"/>
      <c r="V158" s="517"/>
      <c r="W158" s="517"/>
      <c r="X158" s="517"/>
      <c r="Y158" s="517"/>
      <c r="Z158" s="517"/>
      <c r="AA158" s="517"/>
      <c r="AB158" s="517"/>
      <c r="AC158" s="517"/>
      <c r="AD158" s="517"/>
    </row>
    <row r="159" spans="3:30">
      <c r="C159" s="517"/>
      <c r="D159" s="517"/>
      <c r="E159" s="517"/>
      <c r="F159" s="517"/>
      <c r="G159" s="517"/>
      <c r="H159" s="517"/>
      <c r="I159" s="517"/>
      <c r="J159" s="517"/>
      <c r="K159" s="517"/>
      <c r="L159" s="517"/>
      <c r="M159" s="517"/>
      <c r="N159" s="517"/>
      <c r="O159" s="517"/>
      <c r="P159" s="517"/>
      <c r="Q159" s="517"/>
      <c r="R159" s="517"/>
      <c r="S159" s="517"/>
      <c r="T159" s="517"/>
      <c r="U159" s="517"/>
      <c r="V159" s="517"/>
      <c r="W159" s="517"/>
      <c r="X159" s="517"/>
      <c r="Y159" s="517"/>
      <c r="Z159" s="517"/>
      <c r="AA159" s="517"/>
      <c r="AB159" s="517"/>
      <c r="AC159" s="517"/>
      <c r="AD159" s="517"/>
    </row>
    <row r="160" spans="3:30">
      <c r="C160" s="517"/>
      <c r="D160" s="517"/>
      <c r="E160" s="517"/>
      <c r="F160" s="517"/>
      <c r="G160" s="517"/>
      <c r="H160" s="517"/>
      <c r="I160" s="517"/>
      <c r="J160" s="517"/>
      <c r="K160" s="517"/>
      <c r="L160" s="517"/>
      <c r="M160" s="517"/>
      <c r="N160" s="517"/>
      <c r="O160" s="517"/>
      <c r="P160" s="517"/>
      <c r="Q160" s="517"/>
      <c r="R160" s="517"/>
      <c r="S160" s="517"/>
      <c r="T160" s="517"/>
      <c r="U160" s="517"/>
      <c r="V160" s="517"/>
      <c r="W160" s="517"/>
      <c r="X160" s="517"/>
      <c r="Y160" s="517"/>
      <c r="Z160" s="517"/>
      <c r="AA160" s="517"/>
      <c r="AB160" s="517"/>
      <c r="AC160" s="517"/>
      <c r="AD160" s="517"/>
    </row>
    <row r="161" spans="3:30">
      <c r="C161" s="517"/>
      <c r="D161" s="517"/>
      <c r="E161" s="517"/>
      <c r="F161" s="517"/>
      <c r="G161" s="517"/>
      <c r="H161" s="517"/>
      <c r="I161" s="517"/>
      <c r="J161" s="517"/>
      <c r="K161" s="517"/>
      <c r="L161" s="517"/>
      <c r="M161" s="517"/>
      <c r="N161" s="517"/>
      <c r="O161" s="517"/>
      <c r="P161" s="517"/>
      <c r="Q161" s="517"/>
      <c r="R161" s="517"/>
      <c r="S161" s="517"/>
      <c r="T161" s="517"/>
      <c r="U161" s="517"/>
      <c r="V161" s="517"/>
      <c r="W161" s="517"/>
      <c r="X161" s="517"/>
      <c r="Y161" s="517"/>
      <c r="Z161" s="517"/>
      <c r="AA161" s="517"/>
      <c r="AB161" s="517"/>
      <c r="AC161" s="517"/>
      <c r="AD161" s="517"/>
    </row>
    <row r="162" spans="3:30">
      <c r="C162" s="517"/>
      <c r="D162" s="517"/>
      <c r="E162" s="517"/>
      <c r="F162" s="517"/>
      <c r="G162" s="517"/>
      <c r="H162" s="517"/>
      <c r="I162" s="517"/>
      <c r="J162" s="517"/>
      <c r="K162" s="517"/>
      <c r="L162" s="517"/>
      <c r="M162" s="517"/>
      <c r="N162" s="517"/>
      <c r="O162" s="517"/>
      <c r="P162" s="517"/>
      <c r="Q162" s="517"/>
      <c r="R162" s="517"/>
      <c r="S162" s="517"/>
      <c r="T162" s="517"/>
      <c r="U162" s="517"/>
      <c r="V162" s="517"/>
      <c r="W162" s="517"/>
      <c r="X162" s="517"/>
      <c r="Y162" s="517"/>
      <c r="Z162" s="517"/>
      <c r="AA162" s="517"/>
      <c r="AB162" s="517"/>
      <c r="AC162" s="517"/>
      <c r="AD162" s="517"/>
    </row>
    <row r="163" spans="3:30">
      <c r="C163" s="517"/>
      <c r="D163" s="517"/>
      <c r="E163" s="517"/>
      <c r="F163" s="517"/>
      <c r="G163" s="517"/>
      <c r="H163" s="517"/>
      <c r="I163" s="517"/>
      <c r="J163" s="517"/>
      <c r="K163" s="517"/>
      <c r="L163" s="517"/>
      <c r="M163" s="517"/>
      <c r="N163" s="517"/>
      <c r="O163" s="517"/>
      <c r="P163" s="517"/>
      <c r="Q163" s="517"/>
      <c r="R163" s="517"/>
      <c r="S163" s="517"/>
      <c r="T163" s="517"/>
      <c r="U163" s="517"/>
      <c r="V163" s="517"/>
      <c r="W163" s="517"/>
      <c r="X163" s="517"/>
      <c r="Y163" s="517"/>
      <c r="Z163" s="517"/>
      <c r="AA163" s="517"/>
      <c r="AB163" s="517"/>
      <c r="AC163" s="517"/>
      <c r="AD163" s="517"/>
    </row>
    <row r="164" spans="3:30">
      <c r="C164" s="517"/>
      <c r="D164" s="517"/>
      <c r="E164" s="517"/>
      <c r="F164" s="517"/>
      <c r="G164" s="517"/>
      <c r="H164" s="517"/>
      <c r="I164" s="517"/>
      <c r="J164" s="517"/>
      <c r="K164" s="517"/>
      <c r="L164" s="517"/>
      <c r="M164" s="517"/>
      <c r="N164" s="517"/>
      <c r="O164" s="517"/>
      <c r="P164" s="517"/>
      <c r="Q164" s="517"/>
      <c r="R164" s="517"/>
      <c r="S164" s="517"/>
      <c r="T164" s="517"/>
      <c r="U164" s="517"/>
      <c r="V164" s="517"/>
      <c r="W164" s="517"/>
      <c r="X164" s="517"/>
      <c r="Y164" s="517"/>
      <c r="Z164" s="517"/>
      <c r="AA164" s="517"/>
      <c r="AB164" s="517"/>
      <c r="AC164" s="517"/>
      <c r="AD164" s="517"/>
    </row>
    <row r="165" spans="3:30">
      <c r="C165" s="517"/>
      <c r="D165" s="517"/>
      <c r="E165" s="517"/>
      <c r="F165" s="517"/>
      <c r="G165" s="517"/>
      <c r="H165" s="517"/>
      <c r="I165" s="517"/>
      <c r="J165" s="517"/>
      <c r="K165" s="517"/>
      <c r="L165" s="517"/>
      <c r="M165" s="517"/>
      <c r="N165" s="517"/>
      <c r="O165" s="517"/>
      <c r="P165" s="517"/>
      <c r="Q165" s="517"/>
      <c r="R165" s="517"/>
      <c r="S165" s="517"/>
      <c r="T165" s="517"/>
      <c r="U165" s="517"/>
      <c r="V165" s="517"/>
      <c r="W165" s="517"/>
      <c r="X165" s="517"/>
      <c r="Y165" s="517"/>
      <c r="Z165" s="517"/>
      <c r="AA165" s="517"/>
      <c r="AB165" s="517"/>
      <c r="AC165" s="517"/>
      <c r="AD165" s="517"/>
    </row>
    <row r="166" spans="3:30">
      <c r="C166" s="517"/>
      <c r="D166" s="517"/>
      <c r="E166" s="517"/>
      <c r="F166" s="517"/>
      <c r="G166" s="517"/>
      <c r="H166" s="517"/>
      <c r="I166" s="517"/>
      <c r="J166" s="517"/>
      <c r="K166" s="517"/>
      <c r="L166" s="517"/>
      <c r="M166" s="517"/>
      <c r="N166" s="517"/>
      <c r="O166" s="517"/>
      <c r="P166" s="517"/>
      <c r="Q166" s="517"/>
      <c r="R166" s="517"/>
      <c r="S166" s="517"/>
      <c r="T166" s="517"/>
      <c r="U166" s="517"/>
      <c r="V166" s="517"/>
      <c r="W166" s="517"/>
      <c r="X166" s="517"/>
      <c r="Y166" s="517"/>
      <c r="Z166" s="517"/>
      <c r="AA166" s="517"/>
      <c r="AB166" s="517"/>
      <c r="AC166" s="517"/>
      <c r="AD166" s="517"/>
    </row>
    <row r="167" spans="3:30">
      <c r="C167" s="517"/>
      <c r="D167" s="517"/>
      <c r="E167" s="517"/>
      <c r="F167" s="517"/>
      <c r="G167" s="517"/>
      <c r="H167" s="517"/>
      <c r="I167" s="517"/>
      <c r="J167" s="517"/>
      <c r="K167" s="517"/>
      <c r="L167" s="517"/>
      <c r="M167" s="517"/>
      <c r="N167" s="517"/>
      <c r="O167" s="517"/>
      <c r="P167" s="517"/>
      <c r="Q167" s="517"/>
      <c r="R167" s="517"/>
      <c r="S167" s="517"/>
      <c r="T167" s="517"/>
      <c r="U167" s="517"/>
      <c r="V167" s="517"/>
      <c r="W167" s="517"/>
      <c r="X167" s="517"/>
      <c r="Y167" s="517"/>
      <c r="Z167" s="517"/>
      <c r="AA167" s="517"/>
      <c r="AB167" s="517"/>
      <c r="AC167" s="517"/>
      <c r="AD167" s="517"/>
    </row>
    <row r="168" spans="3:30">
      <c r="C168" s="517"/>
      <c r="D168" s="517"/>
      <c r="E168" s="517"/>
      <c r="F168" s="517"/>
      <c r="G168" s="517"/>
      <c r="H168" s="517"/>
      <c r="I168" s="517"/>
      <c r="J168" s="517"/>
      <c r="K168" s="517"/>
      <c r="L168" s="517"/>
      <c r="M168" s="517"/>
      <c r="N168" s="517"/>
      <c r="O168" s="517"/>
      <c r="P168" s="517"/>
      <c r="Q168" s="517"/>
      <c r="R168" s="517"/>
      <c r="S168" s="517"/>
      <c r="T168" s="517"/>
      <c r="U168" s="517"/>
      <c r="V168" s="517"/>
      <c r="W168" s="517"/>
      <c r="X168" s="517"/>
      <c r="Y168" s="517"/>
      <c r="Z168" s="517"/>
      <c r="AA168" s="517"/>
      <c r="AB168" s="517"/>
      <c r="AC168" s="517"/>
      <c r="AD168" s="517"/>
    </row>
    <row r="169" spans="3:30">
      <c r="C169" s="517"/>
      <c r="D169" s="517"/>
      <c r="E169" s="517"/>
      <c r="F169" s="517"/>
      <c r="G169" s="517"/>
      <c r="H169" s="517"/>
      <c r="I169" s="517"/>
      <c r="J169" s="517"/>
      <c r="K169" s="517"/>
      <c r="L169" s="517"/>
      <c r="M169" s="517"/>
      <c r="N169" s="517"/>
      <c r="O169" s="517"/>
      <c r="P169" s="517"/>
      <c r="Q169" s="517"/>
      <c r="R169" s="517"/>
      <c r="S169" s="517"/>
      <c r="T169" s="517"/>
      <c r="U169" s="517"/>
      <c r="V169" s="517"/>
      <c r="W169" s="517"/>
      <c r="X169" s="517"/>
      <c r="Y169" s="517"/>
      <c r="Z169" s="517"/>
      <c r="AA169" s="517"/>
      <c r="AB169" s="517"/>
      <c r="AC169" s="517"/>
      <c r="AD169" s="517"/>
    </row>
    <row r="170" spans="3:30">
      <c r="C170" s="517"/>
      <c r="D170" s="517"/>
      <c r="E170" s="517"/>
      <c r="F170" s="517"/>
      <c r="G170" s="517"/>
      <c r="H170" s="517"/>
      <c r="I170" s="517"/>
      <c r="J170" s="517"/>
      <c r="K170" s="517"/>
      <c r="L170" s="517"/>
      <c r="M170" s="517"/>
      <c r="N170" s="517"/>
      <c r="O170" s="517"/>
      <c r="P170" s="517"/>
      <c r="Q170" s="517"/>
      <c r="R170" s="517"/>
      <c r="S170" s="517"/>
      <c r="T170" s="517"/>
      <c r="U170" s="517"/>
      <c r="V170" s="517"/>
      <c r="W170" s="517"/>
      <c r="X170" s="517"/>
      <c r="Y170" s="517"/>
      <c r="Z170" s="517"/>
      <c r="AA170" s="517"/>
      <c r="AB170" s="517"/>
      <c r="AC170" s="517"/>
      <c r="AD170" s="517"/>
    </row>
    <row r="171" spans="3:30">
      <c r="C171" s="517"/>
      <c r="D171" s="517"/>
      <c r="E171" s="517"/>
      <c r="F171" s="517"/>
      <c r="G171" s="517"/>
      <c r="H171" s="517"/>
      <c r="I171" s="517"/>
      <c r="J171" s="517"/>
      <c r="K171" s="517"/>
      <c r="L171" s="517"/>
      <c r="M171" s="517"/>
      <c r="N171" s="517"/>
      <c r="O171" s="517"/>
      <c r="P171" s="517"/>
      <c r="Q171" s="517"/>
      <c r="R171" s="517"/>
      <c r="S171" s="517"/>
      <c r="T171" s="517"/>
      <c r="U171" s="517"/>
      <c r="V171" s="517"/>
      <c r="W171" s="517"/>
      <c r="X171" s="517"/>
      <c r="Y171" s="517"/>
      <c r="Z171" s="517"/>
      <c r="AA171" s="517"/>
      <c r="AB171" s="517"/>
      <c r="AC171" s="517"/>
      <c r="AD171" s="517"/>
    </row>
    <row r="172" spans="3:30">
      <c r="C172" s="517"/>
      <c r="D172" s="517"/>
      <c r="E172" s="517"/>
      <c r="F172" s="517"/>
      <c r="G172" s="517"/>
      <c r="H172" s="517"/>
      <c r="I172" s="517"/>
      <c r="J172" s="517"/>
      <c r="K172" s="517"/>
      <c r="L172" s="517"/>
      <c r="M172" s="517"/>
      <c r="N172" s="517"/>
      <c r="O172" s="517"/>
      <c r="P172" s="517"/>
      <c r="Q172" s="517"/>
      <c r="R172" s="517"/>
      <c r="S172" s="517"/>
      <c r="T172" s="517"/>
      <c r="U172" s="517"/>
      <c r="V172" s="517"/>
      <c r="W172" s="517"/>
      <c r="X172" s="517"/>
      <c r="Y172" s="517"/>
      <c r="Z172" s="517"/>
      <c r="AA172" s="517"/>
      <c r="AB172" s="517"/>
      <c r="AC172" s="517"/>
      <c r="AD172" s="517"/>
    </row>
    <row r="173" spans="3:30">
      <c r="C173" s="517"/>
      <c r="D173" s="517"/>
      <c r="E173" s="517"/>
      <c r="F173" s="517"/>
      <c r="G173" s="517"/>
      <c r="H173" s="517"/>
      <c r="I173" s="517"/>
      <c r="J173" s="517"/>
      <c r="K173" s="517"/>
      <c r="L173" s="517"/>
      <c r="M173" s="517"/>
      <c r="N173" s="517"/>
      <c r="O173" s="517"/>
      <c r="P173" s="517"/>
      <c r="Q173" s="517"/>
      <c r="R173" s="517"/>
      <c r="S173" s="517"/>
      <c r="T173" s="517"/>
      <c r="U173" s="517"/>
      <c r="V173" s="517"/>
      <c r="W173" s="517"/>
      <c r="X173" s="517"/>
      <c r="Y173" s="517"/>
      <c r="Z173" s="517"/>
      <c r="AA173" s="517"/>
      <c r="AB173" s="517"/>
      <c r="AC173" s="517"/>
      <c r="AD173" s="517"/>
    </row>
    <row r="174" spans="3:30">
      <c r="C174" s="517"/>
      <c r="D174" s="517"/>
      <c r="E174" s="517"/>
      <c r="F174" s="517"/>
      <c r="G174" s="517"/>
      <c r="H174" s="517"/>
      <c r="I174" s="517"/>
      <c r="J174" s="517"/>
      <c r="K174" s="517"/>
      <c r="L174" s="517"/>
      <c r="M174" s="517"/>
      <c r="N174" s="517"/>
      <c r="O174" s="517"/>
      <c r="P174" s="517"/>
      <c r="Q174" s="517"/>
      <c r="R174" s="517"/>
      <c r="S174" s="517"/>
      <c r="T174" s="517"/>
      <c r="U174" s="517"/>
      <c r="V174" s="517"/>
      <c r="W174" s="517"/>
      <c r="X174" s="517"/>
      <c r="Y174" s="517"/>
      <c r="Z174" s="517"/>
      <c r="AA174" s="517"/>
      <c r="AB174" s="517"/>
      <c r="AC174" s="517"/>
      <c r="AD174" s="517"/>
    </row>
    <row r="175" spans="3:30">
      <c r="C175" s="517"/>
      <c r="D175" s="517"/>
      <c r="E175" s="517"/>
      <c r="F175" s="517"/>
      <c r="G175" s="517"/>
      <c r="H175" s="517"/>
      <c r="I175" s="517"/>
      <c r="J175" s="517"/>
      <c r="K175" s="517"/>
      <c r="L175" s="517"/>
      <c r="M175" s="517"/>
      <c r="N175" s="517"/>
      <c r="O175" s="517"/>
      <c r="P175" s="517"/>
      <c r="Q175" s="517"/>
      <c r="R175" s="517"/>
      <c r="S175" s="517"/>
      <c r="T175" s="517"/>
      <c r="U175" s="517"/>
      <c r="V175" s="517"/>
      <c r="W175" s="517"/>
      <c r="X175" s="517"/>
      <c r="Y175" s="517"/>
      <c r="Z175" s="517"/>
      <c r="AA175" s="517"/>
      <c r="AB175" s="517"/>
      <c r="AC175" s="517"/>
      <c r="AD175" s="517"/>
    </row>
    <row r="176" spans="3:30">
      <c r="C176" s="517"/>
      <c r="D176" s="517"/>
      <c r="E176" s="517"/>
      <c r="F176" s="517"/>
      <c r="G176" s="517"/>
      <c r="H176" s="517"/>
      <c r="I176" s="517"/>
      <c r="J176" s="517"/>
      <c r="K176" s="517"/>
      <c r="L176" s="517"/>
      <c r="M176" s="517"/>
      <c r="N176" s="517"/>
      <c r="O176" s="517"/>
      <c r="P176" s="517"/>
      <c r="Q176" s="517"/>
      <c r="R176" s="517"/>
      <c r="S176" s="517"/>
      <c r="T176" s="517"/>
      <c r="U176" s="517"/>
      <c r="V176" s="517"/>
      <c r="W176" s="517"/>
      <c r="X176" s="517"/>
      <c r="Y176" s="517"/>
      <c r="Z176" s="517"/>
      <c r="AA176" s="517"/>
      <c r="AB176" s="517"/>
      <c r="AC176" s="517"/>
      <c r="AD176" s="517"/>
    </row>
    <row r="177" spans="3:30">
      <c r="C177" s="517"/>
      <c r="D177" s="517"/>
      <c r="E177" s="517"/>
      <c r="F177" s="517"/>
      <c r="G177" s="517"/>
      <c r="H177" s="517"/>
      <c r="I177" s="517"/>
      <c r="J177" s="517"/>
      <c r="K177" s="517"/>
      <c r="L177" s="517"/>
      <c r="M177" s="517"/>
      <c r="N177" s="517"/>
      <c r="O177" s="517"/>
      <c r="P177" s="517"/>
      <c r="Q177" s="517"/>
      <c r="R177" s="517"/>
      <c r="S177" s="517"/>
      <c r="T177" s="517"/>
      <c r="U177" s="517"/>
      <c r="V177" s="517"/>
      <c r="W177" s="517"/>
      <c r="X177" s="517"/>
      <c r="Y177" s="517"/>
      <c r="Z177" s="517"/>
      <c r="AA177" s="517"/>
      <c r="AB177" s="517"/>
      <c r="AC177" s="517"/>
      <c r="AD177" s="517"/>
    </row>
    <row r="178" spans="3:30">
      <c r="C178" s="517"/>
      <c r="D178" s="517"/>
      <c r="E178" s="517"/>
      <c r="F178" s="517"/>
      <c r="G178" s="517"/>
      <c r="H178" s="517"/>
      <c r="I178" s="517"/>
      <c r="J178" s="517"/>
      <c r="K178" s="517"/>
      <c r="L178" s="517"/>
      <c r="M178" s="517"/>
      <c r="N178" s="517"/>
      <c r="O178" s="517"/>
      <c r="P178" s="517"/>
      <c r="Q178" s="517"/>
      <c r="R178" s="517"/>
      <c r="S178" s="517"/>
      <c r="T178" s="517"/>
      <c r="U178" s="517"/>
      <c r="V178" s="517"/>
      <c r="W178" s="517"/>
      <c r="X178" s="517"/>
      <c r="Y178" s="517"/>
      <c r="Z178" s="517"/>
      <c r="AA178" s="517"/>
      <c r="AB178" s="517"/>
      <c r="AC178" s="517"/>
      <c r="AD178" s="517"/>
    </row>
    <row r="179" spans="3:30">
      <c r="C179" s="517"/>
      <c r="D179" s="517"/>
      <c r="E179" s="517"/>
      <c r="F179" s="517"/>
      <c r="G179" s="517"/>
      <c r="H179" s="517"/>
      <c r="I179" s="517"/>
      <c r="J179" s="517"/>
      <c r="K179" s="517"/>
      <c r="L179" s="517"/>
      <c r="M179" s="517"/>
      <c r="N179" s="517"/>
      <c r="O179" s="517"/>
      <c r="P179" s="517"/>
      <c r="Q179" s="517"/>
      <c r="R179" s="517"/>
      <c r="S179" s="517"/>
      <c r="T179" s="517"/>
      <c r="U179" s="517"/>
      <c r="V179" s="517"/>
      <c r="W179" s="517"/>
      <c r="X179" s="517"/>
      <c r="Y179" s="517"/>
      <c r="Z179" s="517"/>
      <c r="AA179" s="517"/>
      <c r="AB179" s="517"/>
      <c r="AC179" s="517"/>
      <c r="AD179" s="517"/>
    </row>
    <row r="180" spans="3:30">
      <c r="C180" s="517"/>
      <c r="D180" s="517"/>
      <c r="E180" s="517"/>
      <c r="F180" s="517"/>
      <c r="G180" s="517"/>
      <c r="H180" s="517"/>
      <c r="I180" s="517"/>
      <c r="J180" s="517"/>
      <c r="K180" s="517"/>
      <c r="L180" s="517"/>
      <c r="M180" s="517"/>
      <c r="N180" s="517"/>
      <c r="O180" s="517"/>
      <c r="P180" s="517"/>
      <c r="Q180" s="517"/>
      <c r="R180" s="517"/>
      <c r="S180" s="517"/>
      <c r="T180" s="517"/>
      <c r="U180" s="517"/>
      <c r="V180" s="517"/>
      <c r="W180" s="517"/>
      <c r="X180" s="517"/>
      <c r="Y180" s="517"/>
      <c r="Z180" s="517"/>
      <c r="AA180" s="517"/>
      <c r="AB180" s="517"/>
      <c r="AC180" s="517"/>
      <c r="AD180" s="517"/>
    </row>
    <row r="181" spans="3:30">
      <c r="C181" s="517"/>
      <c r="D181" s="517"/>
      <c r="E181" s="517"/>
      <c r="F181" s="517"/>
      <c r="G181" s="517"/>
      <c r="H181" s="517"/>
      <c r="I181" s="517"/>
      <c r="J181" s="517"/>
      <c r="K181" s="517"/>
      <c r="L181" s="517"/>
      <c r="M181" s="517"/>
      <c r="N181" s="517"/>
      <c r="O181" s="517"/>
      <c r="P181" s="517"/>
      <c r="Q181" s="517"/>
      <c r="R181" s="517"/>
      <c r="S181" s="517"/>
      <c r="T181" s="517"/>
      <c r="U181" s="517"/>
      <c r="V181" s="517"/>
      <c r="W181" s="517"/>
      <c r="X181" s="517"/>
      <c r="Y181" s="517"/>
      <c r="Z181" s="517"/>
      <c r="AA181" s="517"/>
      <c r="AB181" s="517"/>
      <c r="AC181" s="517"/>
      <c r="AD181" s="517"/>
    </row>
    <row r="182" spans="3:30">
      <c r="C182" s="517"/>
      <c r="D182" s="517"/>
      <c r="E182" s="517"/>
      <c r="F182" s="517"/>
      <c r="G182" s="517"/>
      <c r="H182" s="517"/>
      <c r="I182" s="517"/>
      <c r="J182" s="517"/>
      <c r="K182" s="517"/>
      <c r="L182" s="517"/>
      <c r="M182" s="517"/>
      <c r="N182" s="517"/>
      <c r="O182" s="517"/>
      <c r="P182" s="517"/>
      <c r="Q182" s="517"/>
      <c r="R182" s="517"/>
      <c r="S182" s="517"/>
      <c r="T182" s="517"/>
      <c r="U182" s="517"/>
      <c r="V182" s="517"/>
      <c r="W182" s="517"/>
      <c r="X182" s="517"/>
      <c r="Y182" s="517"/>
      <c r="Z182" s="517"/>
      <c r="AA182" s="517"/>
      <c r="AB182" s="517"/>
      <c r="AC182" s="517"/>
      <c r="AD182" s="517"/>
    </row>
    <row r="183" spans="3:30">
      <c r="C183" s="517"/>
      <c r="D183" s="517"/>
      <c r="E183" s="517"/>
      <c r="F183" s="517"/>
      <c r="G183" s="517"/>
      <c r="H183" s="517"/>
      <c r="I183" s="517"/>
      <c r="J183" s="517"/>
      <c r="K183" s="517"/>
      <c r="L183" s="517"/>
      <c r="M183" s="517"/>
      <c r="N183" s="517"/>
      <c r="O183" s="517"/>
      <c r="P183" s="517"/>
      <c r="Q183" s="517"/>
      <c r="R183" s="517"/>
      <c r="S183" s="517"/>
      <c r="T183" s="517"/>
      <c r="U183" s="517"/>
      <c r="V183" s="517"/>
      <c r="W183" s="517"/>
      <c r="X183" s="517"/>
      <c r="Y183" s="517"/>
      <c r="Z183" s="517"/>
      <c r="AA183" s="517"/>
      <c r="AB183" s="517"/>
      <c r="AC183" s="517"/>
      <c r="AD183" s="517"/>
    </row>
    <row r="184" spans="3:30">
      <c r="C184" s="517"/>
      <c r="D184" s="517"/>
      <c r="E184" s="517"/>
      <c r="F184" s="517"/>
      <c r="G184" s="517"/>
      <c r="H184" s="517"/>
      <c r="I184" s="517"/>
      <c r="J184" s="517"/>
      <c r="K184" s="517"/>
      <c r="L184" s="517"/>
      <c r="M184" s="517"/>
      <c r="N184" s="517"/>
      <c r="O184" s="517"/>
      <c r="P184" s="517"/>
      <c r="Q184" s="517"/>
      <c r="R184" s="517"/>
      <c r="S184" s="517"/>
      <c r="T184" s="517"/>
      <c r="U184" s="517"/>
      <c r="V184" s="517"/>
      <c r="W184" s="517"/>
      <c r="X184" s="517"/>
      <c r="Y184" s="517"/>
      <c r="Z184" s="517"/>
      <c r="AA184" s="517"/>
      <c r="AB184" s="517"/>
      <c r="AC184" s="517"/>
      <c r="AD184" s="517"/>
    </row>
    <row r="185" spans="3:30">
      <c r="C185" s="517"/>
      <c r="D185" s="517"/>
      <c r="E185" s="517"/>
      <c r="F185" s="517"/>
      <c r="G185" s="517"/>
      <c r="H185" s="517"/>
      <c r="I185" s="517"/>
      <c r="J185" s="517"/>
      <c r="K185" s="517"/>
      <c r="L185" s="517"/>
      <c r="M185" s="517"/>
      <c r="N185" s="517"/>
      <c r="O185" s="517"/>
      <c r="P185" s="517"/>
      <c r="Q185" s="517"/>
      <c r="R185" s="517"/>
      <c r="S185" s="517"/>
      <c r="T185" s="517"/>
      <c r="U185" s="517"/>
      <c r="V185" s="517"/>
      <c r="W185" s="517"/>
      <c r="X185" s="517"/>
      <c r="Y185" s="517"/>
      <c r="Z185" s="517"/>
      <c r="AA185" s="517"/>
      <c r="AB185" s="517"/>
      <c r="AC185" s="517"/>
      <c r="AD185" s="517"/>
    </row>
    <row r="186" spans="3:30">
      <c r="C186" s="517"/>
      <c r="D186" s="517"/>
      <c r="E186" s="517"/>
      <c r="F186" s="517"/>
      <c r="G186" s="517"/>
      <c r="H186" s="517"/>
      <c r="I186" s="517"/>
      <c r="J186" s="517"/>
      <c r="K186" s="517"/>
      <c r="L186" s="517"/>
      <c r="M186" s="517"/>
      <c r="N186" s="517"/>
      <c r="O186" s="517"/>
      <c r="P186" s="517"/>
      <c r="Q186" s="517"/>
      <c r="R186" s="517"/>
      <c r="S186" s="517"/>
      <c r="T186" s="517"/>
      <c r="U186" s="517"/>
      <c r="V186" s="517"/>
      <c r="W186" s="517"/>
      <c r="X186" s="517"/>
      <c r="Y186" s="517"/>
      <c r="Z186" s="517"/>
      <c r="AA186" s="517"/>
      <c r="AB186" s="517"/>
      <c r="AC186" s="517"/>
      <c r="AD186" s="517"/>
    </row>
    <row r="187" spans="3:30">
      <c r="C187" s="517"/>
      <c r="D187" s="517"/>
      <c r="E187" s="517"/>
      <c r="F187" s="517"/>
      <c r="G187" s="517"/>
      <c r="H187" s="517"/>
      <c r="I187" s="517"/>
      <c r="J187" s="517"/>
      <c r="K187" s="517"/>
      <c r="L187" s="517"/>
      <c r="M187" s="517"/>
      <c r="N187" s="517"/>
      <c r="O187" s="517"/>
      <c r="P187" s="517"/>
      <c r="Q187" s="517"/>
      <c r="R187" s="517"/>
      <c r="S187" s="517"/>
      <c r="T187" s="517"/>
      <c r="U187" s="517"/>
      <c r="V187" s="517"/>
      <c r="W187" s="517"/>
      <c r="X187" s="517"/>
      <c r="Y187" s="517"/>
      <c r="Z187" s="517"/>
      <c r="AA187" s="517"/>
      <c r="AB187" s="517"/>
      <c r="AC187" s="517"/>
      <c r="AD187" s="517"/>
    </row>
    <row r="188" spans="3:30">
      <c r="C188" s="517"/>
      <c r="D188" s="517"/>
      <c r="E188" s="517"/>
      <c r="F188" s="517"/>
      <c r="G188" s="517"/>
      <c r="H188" s="517"/>
      <c r="I188" s="517"/>
      <c r="J188" s="517"/>
      <c r="K188" s="517"/>
      <c r="L188" s="517"/>
      <c r="M188" s="517"/>
      <c r="N188" s="517"/>
      <c r="O188" s="517"/>
      <c r="P188" s="517"/>
      <c r="Q188" s="517"/>
      <c r="R188" s="517"/>
      <c r="S188" s="517"/>
      <c r="T188" s="517"/>
      <c r="U188" s="517"/>
      <c r="V188" s="517"/>
      <c r="W188" s="517"/>
      <c r="X188" s="517"/>
      <c r="Y188" s="517"/>
      <c r="Z188" s="517"/>
      <c r="AA188" s="517"/>
      <c r="AB188" s="517"/>
      <c r="AC188" s="517"/>
      <c r="AD188" s="517"/>
    </row>
    <row r="189" spans="3:30">
      <c r="C189" s="517"/>
      <c r="D189" s="517"/>
      <c r="E189" s="517"/>
      <c r="F189" s="517"/>
      <c r="G189" s="517"/>
      <c r="H189" s="517"/>
      <c r="I189" s="517"/>
      <c r="J189" s="517"/>
      <c r="K189" s="517"/>
      <c r="L189" s="517"/>
      <c r="M189" s="517"/>
      <c r="N189" s="517"/>
      <c r="O189" s="517"/>
      <c r="P189" s="517"/>
      <c r="Q189" s="517"/>
      <c r="R189" s="517"/>
      <c r="S189" s="517"/>
      <c r="T189" s="517"/>
      <c r="U189" s="517"/>
      <c r="V189" s="517"/>
      <c r="W189" s="517"/>
      <c r="X189" s="517"/>
      <c r="Y189" s="517"/>
      <c r="Z189" s="517"/>
      <c r="AA189" s="517"/>
      <c r="AB189" s="517"/>
      <c r="AC189" s="517"/>
      <c r="AD189" s="517"/>
    </row>
    <row r="190" spans="3:30">
      <c r="C190" s="517"/>
      <c r="D190" s="517"/>
      <c r="E190" s="517"/>
      <c r="F190" s="517"/>
      <c r="G190" s="517"/>
      <c r="H190" s="517"/>
      <c r="I190" s="517"/>
      <c r="J190" s="517"/>
      <c r="K190" s="517"/>
      <c r="L190" s="517"/>
      <c r="M190" s="517"/>
      <c r="N190" s="517"/>
      <c r="O190" s="517"/>
      <c r="P190" s="517"/>
      <c r="Q190" s="517"/>
      <c r="R190" s="517"/>
      <c r="S190" s="517"/>
      <c r="T190" s="517"/>
      <c r="U190" s="517"/>
      <c r="V190" s="517"/>
      <c r="W190" s="517"/>
      <c r="X190" s="517"/>
      <c r="Y190" s="517"/>
      <c r="Z190" s="517"/>
      <c r="AA190" s="517"/>
      <c r="AB190" s="517"/>
      <c r="AC190" s="517"/>
      <c r="AD190" s="517"/>
    </row>
    <row r="191" spans="3:30">
      <c r="C191" s="517"/>
      <c r="D191" s="517"/>
      <c r="E191" s="517"/>
      <c r="F191" s="517"/>
      <c r="G191" s="517"/>
      <c r="H191" s="517"/>
      <c r="I191" s="517"/>
      <c r="J191" s="517"/>
      <c r="K191" s="517"/>
      <c r="L191" s="517"/>
      <c r="M191" s="517"/>
      <c r="N191" s="517"/>
      <c r="O191" s="517"/>
      <c r="P191" s="517"/>
      <c r="Q191" s="517"/>
      <c r="R191" s="517"/>
      <c r="S191" s="517"/>
      <c r="T191" s="517"/>
      <c r="U191" s="517"/>
      <c r="V191" s="517"/>
      <c r="W191" s="517"/>
      <c r="X191" s="517"/>
      <c r="Y191" s="517"/>
      <c r="Z191" s="517"/>
      <c r="AA191" s="517"/>
      <c r="AB191" s="517"/>
      <c r="AC191" s="517"/>
      <c r="AD191" s="517"/>
    </row>
    <row r="192" spans="3:30">
      <c r="C192" s="517"/>
      <c r="D192" s="517"/>
      <c r="E192" s="517"/>
      <c r="F192" s="517"/>
      <c r="G192" s="517"/>
      <c r="H192" s="517"/>
      <c r="I192" s="517"/>
      <c r="J192" s="517"/>
      <c r="K192" s="517"/>
      <c r="L192" s="517"/>
      <c r="M192" s="517"/>
      <c r="N192" s="517"/>
      <c r="O192" s="517"/>
      <c r="P192" s="517"/>
      <c r="Q192" s="517"/>
      <c r="R192" s="517"/>
      <c r="S192" s="517"/>
      <c r="T192" s="517"/>
      <c r="U192" s="517"/>
      <c r="V192" s="517"/>
      <c r="W192" s="517"/>
      <c r="X192" s="517"/>
      <c r="Y192" s="517"/>
      <c r="Z192" s="517"/>
      <c r="AA192" s="517"/>
      <c r="AB192" s="517"/>
      <c r="AC192" s="517"/>
      <c r="AD192" s="517"/>
    </row>
    <row r="193" spans="3:30">
      <c r="C193" s="517"/>
      <c r="D193" s="517"/>
      <c r="E193" s="517"/>
      <c r="F193" s="517"/>
      <c r="G193" s="517"/>
      <c r="H193" s="517"/>
      <c r="I193" s="517"/>
      <c r="J193" s="517"/>
      <c r="K193" s="517"/>
      <c r="L193" s="517"/>
      <c r="M193" s="517"/>
      <c r="N193" s="517"/>
      <c r="O193" s="517"/>
      <c r="P193" s="517"/>
      <c r="Q193" s="517"/>
      <c r="R193" s="517"/>
      <c r="S193" s="517"/>
      <c r="T193" s="517"/>
      <c r="U193" s="517"/>
      <c r="V193" s="517"/>
      <c r="W193" s="517"/>
      <c r="X193" s="517"/>
      <c r="Y193" s="517"/>
      <c r="Z193" s="517"/>
      <c r="AA193" s="517"/>
      <c r="AB193" s="517"/>
      <c r="AC193" s="517"/>
      <c r="AD193" s="517"/>
    </row>
    <row r="194" spans="3:30">
      <c r="C194" s="517"/>
      <c r="D194" s="517"/>
      <c r="E194" s="517"/>
      <c r="F194" s="517"/>
      <c r="G194" s="517"/>
      <c r="H194" s="517"/>
      <c r="I194" s="517"/>
      <c r="J194" s="517"/>
      <c r="K194" s="517"/>
      <c r="L194" s="517"/>
      <c r="M194" s="517"/>
      <c r="N194" s="517"/>
      <c r="O194" s="517"/>
      <c r="P194" s="517"/>
      <c r="Q194" s="517"/>
      <c r="R194" s="517"/>
      <c r="S194" s="517"/>
      <c r="T194" s="517"/>
      <c r="U194" s="517"/>
      <c r="V194" s="517"/>
      <c r="W194" s="517"/>
      <c r="X194" s="517"/>
      <c r="Y194" s="517"/>
      <c r="Z194" s="517"/>
      <c r="AA194" s="517"/>
      <c r="AB194" s="517"/>
      <c r="AC194" s="517"/>
      <c r="AD194" s="517"/>
    </row>
    <row r="195" spans="3:30">
      <c r="C195" s="517"/>
      <c r="D195" s="517"/>
      <c r="E195" s="517"/>
      <c r="F195" s="517"/>
      <c r="G195" s="517"/>
      <c r="H195" s="517"/>
      <c r="I195" s="517"/>
      <c r="J195" s="517"/>
      <c r="K195" s="517"/>
      <c r="L195" s="517"/>
      <c r="M195" s="517"/>
      <c r="N195" s="517"/>
      <c r="O195" s="517"/>
      <c r="P195" s="517"/>
      <c r="Q195" s="517"/>
      <c r="R195" s="517"/>
      <c r="S195" s="517"/>
      <c r="T195" s="517"/>
      <c r="U195" s="517"/>
      <c r="V195" s="517"/>
      <c r="W195" s="517"/>
      <c r="X195" s="517"/>
      <c r="Y195" s="517"/>
      <c r="Z195" s="517"/>
      <c r="AA195" s="517"/>
      <c r="AB195" s="517"/>
      <c r="AC195" s="517"/>
      <c r="AD195" s="517"/>
    </row>
    <row r="196" spans="3:30">
      <c r="C196" s="517"/>
      <c r="D196" s="517"/>
      <c r="E196" s="517"/>
      <c r="F196" s="517"/>
      <c r="G196" s="517"/>
      <c r="H196" s="517"/>
      <c r="I196" s="517"/>
      <c r="J196" s="517"/>
      <c r="K196" s="517"/>
      <c r="L196" s="517"/>
      <c r="M196" s="517"/>
      <c r="N196" s="517"/>
      <c r="O196" s="517"/>
      <c r="P196" s="517"/>
      <c r="Q196" s="517"/>
      <c r="R196" s="517"/>
      <c r="S196" s="517"/>
      <c r="T196" s="517"/>
      <c r="U196" s="517"/>
      <c r="V196" s="517"/>
      <c r="W196" s="517"/>
      <c r="X196" s="517"/>
      <c r="Y196" s="517"/>
      <c r="Z196" s="517"/>
      <c r="AA196" s="517"/>
      <c r="AB196" s="517"/>
      <c r="AC196" s="517"/>
      <c r="AD196" s="517"/>
    </row>
    <row r="197" spans="3:30">
      <c r="C197" s="517"/>
      <c r="D197" s="517"/>
      <c r="E197" s="517"/>
      <c r="F197" s="517"/>
      <c r="G197" s="517"/>
      <c r="H197" s="517"/>
      <c r="I197" s="517"/>
      <c r="J197" s="517"/>
      <c r="K197" s="517"/>
      <c r="L197" s="517"/>
      <c r="M197" s="517"/>
      <c r="N197" s="517"/>
      <c r="O197" s="517"/>
      <c r="P197" s="517"/>
      <c r="Q197" s="517"/>
      <c r="R197" s="517"/>
      <c r="S197" s="517"/>
      <c r="T197" s="517"/>
      <c r="U197" s="517"/>
      <c r="V197" s="517"/>
      <c r="W197" s="517"/>
      <c r="X197" s="517"/>
      <c r="Y197" s="517"/>
      <c r="Z197" s="517"/>
      <c r="AA197" s="517"/>
      <c r="AB197" s="517"/>
      <c r="AC197" s="517"/>
      <c r="AD197" s="517"/>
    </row>
    <row r="198" spans="3:30">
      <c r="C198" s="517"/>
      <c r="D198" s="517"/>
      <c r="E198" s="517"/>
      <c r="F198" s="517"/>
      <c r="G198" s="517"/>
      <c r="H198" s="517"/>
      <c r="I198" s="517"/>
      <c r="J198" s="517"/>
      <c r="K198" s="517"/>
      <c r="L198" s="517"/>
      <c r="M198" s="517"/>
      <c r="N198" s="517"/>
      <c r="O198" s="517"/>
      <c r="P198" s="517"/>
      <c r="Q198" s="517"/>
      <c r="R198" s="517"/>
      <c r="S198" s="517"/>
      <c r="T198" s="517"/>
      <c r="U198" s="517"/>
      <c r="V198" s="517"/>
      <c r="W198" s="517"/>
      <c r="X198" s="517"/>
      <c r="Y198" s="517"/>
      <c r="Z198" s="517"/>
      <c r="AA198" s="517"/>
      <c r="AB198" s="517"/>
      <c r="AC198" s="517"/>
      <c r="AD198" s="517"/>
    </row>
    <row r="199" spans="3:30">
      <c r="C199" s="517"/>
      <c r="D199" s="517"/>
      <c r="E199" s="517"/>
      <c r="F199" s="517"/>
      <c r="G199" s="517"/>
      <c r="H199" s="517"/>
      <c r="I199" s="517"/>
      <c r="J199" s="517"/>
      <c r="K199" s="517"/>
      <c r="L199" s="517"/>
      <c r="M199" s="517"/>
      <c r="N199" s="517"/>
      <c r="O199" s="517"/>
      <c r="P199" s="517"/>
      <c r="Q199" s="517"/>
      <c r="R199" s="517"/>
      <c r="S199" s="517"/>
      <c r="T199" s="517"/>
      <c r="U199" s="517"/>
      <c r="V199" s="517"/>
      <c r="W199" s="517"/>
      <c r="X199" s="517"/>
      <c r="Y199" s="517"/>
      <c r="Z199" s="517"/>
      <c r="AA199" s="517"/>
      <c r="AB199" s="517"/>
      <c r="AC199" s="517"/>
      <c r="AD199" s="517"/>
    </row>
    <row r="200" spans="3:30">
      <c r="C200" s="517"/>
      <c r="D200" s="517"/>
      <c r="E200" s="517"/>
      <c r="F200" s="517"/>
      <c r="G200" s="517"/>
      <c r="H200" s="517"/>
      <c r="I200" s="517"/>
      <c r="J200" s="517"/>
      <c r="K200" s="517"/>
      <c r="L200" s="517"/>
      <c r="M200" s="517"/>
      <c r="N200" s="517"/>
      <c r="O200" s="517"/>
      <c r="P200" s="517"/>
      <c r="Q200" s="517"/>
      <c r="R200" s="517"/>
      <c r="S200" s="517"/>
      <c r="T200" s="517"/>
      <c r="U200" s="517"/>
      <c r="V200" s="517"/>
      <c r="W200" s="517"/>
      <c r="X200" s="517"/>
      <c r="Y200" s="517"/>
      <c r="Z200" s="517"/>
      <c r="AA200" s="517"/>
      <c r="AB200" s="517"/>
      <c r="AC200" s="517"/>
      <c r="AD200" s="517"/>
    </row>
    <row r="201" spans="3:30">
      <c r="C201" s="517"/>
      <c r="D201" s="517"/>
      <c r="E201" s="517"/>
      <c r="F201" s="517"/>
      <c r="G201" s="517"/>
      <c r="H201" s="517"/>
      <c r="I201" s="517"/>
      <c r="J201" s="517"/>
      <c r="K201" s="517"/>
      <c r="L201" s="517"/>
      <c r="M201" s="517"/>
      <c r="N201" s="517"/>
      <c r="O201" s="517"/>
      <c r="P201" s="517"/>
      <c r="Q201" s="517"/>
      <c r="R201" s="517"/>
      <c r="S201" s="517"/>
      <c r="T201" s="517"/>
      <c r="U201" s="517"/>
      <c r="V201" s="517"/>
      <c r="W201" s="517"/>
      <c r="X201" s="517"/>
      <c r="Y201" s="517"/>
      <c r="Z201" s="517"/>
      <c r="AA201" s="517"/>
      <c r="AB201" s="517"/>
      <c r="AC201" s="517"/>
      <c r="AD201" s="517"/>
    </row>
    <row r="202" spans="3:30">
      <c r="C202" s="517"/>
      <c r="D202" s="517"/>
      <c r="E202" s="517"/>
      <c r="F202" s="517"/>
      <c r="G202" s="517"/>
      <c r="H202" s="517"/>
      <c r="I202" s="517"/>
      <c r="J202" s="517"/>
      <c r="K202" s="517"/>
      <c r="L202" s="517"/>
      <c r="M202" s="517"/>
      <c r="N202" s="517"/>
      <c r="O202" s="517"/>
      <c r="P202" s="517"/>
      <c r="Q202" s="517"/>
      <c r="R202" s="517"/>
      <c r="S202" s="517"/>
      <c r="T202" s="517"/>
      <c r="U202" s="517"/>
      <c r="V202" s="517"/>
      <c r="W202" s="517"/>
      <c r="X202" s="517"/>
      <c r="Y202" s="517"/>
      <c r="Z202" s="517"/>
      <c r="AA202" s="517"/>
      <c r="AB202" s="517"/>
      <c r="AC202" s="517"/>
      <c r="AD202" s="517"/>
    </row>
    <row r="203" spans="3:30">
      <c r="C203" s="517"/>
      <c r="D203" s="517"/>
      <c r="E203" s="517"/>
      <c r="F203" s="517"/>
      <c r="G203" s="517"/>
      <c r="H203" s="517"/>
      <c r="I203" s="517"/>
      <c r="J203" s="517"/>
      <c r="K203" s="517"/>
      <c r="L203" s="517"/>
      <c r="M203" s="517"/>
      <c r="N203" s="517"/>
      <c r="O203" s="517"/>
      <c r="P203" s="517"/>
      <c r="Q203" s="517"/>
      <c r="R203" s="517"/>
      <c r="S203" s="517"/>
      <c r="T203" s="517"/>
      <c r="U203" s="517"/>
      <c r="V203" s="517"/>
      <c r="W203" s="517"/>
      <c r="X203" s="517"/>
      <c r="Y203" s="517"/>
      <c r="Z203" s="517"/>
      <c r="AA203" s="517"/>
      <c r="AB203" s="517"/>
      <c r="AC203" s="517"/>
      <c r="AD203" s="517"/>
    </row>
    <row r="204" spans="3:30">
      <c r="C204" s="517"/>
      <c r="D204" s="517"/>
      <c r="E204" s="517"/>
      <c r="F204" s="517"/>
      <c r="G204" s="517"/>
      <c r="H204" s="517"/>
      <c r="I204" s="517"/>
      <c r="J204" s="517"/>
      <c r="K204" s="517"/>
      <c r="L204" s="517"/>
      <c r="M204" s="517"/>
      <c r="N204" s="517"/>
      <c r="O204" s="517"/>
      <c r="P204" s="517"/>
      <c r="Q204" s="517"/>
      <c r="R204" s="517"/>
      <c r="S204" s="517"/>
      <c r="T204" s="517"/>
      <c r="U204" s="517"/>
      <c r="V204" s="517"/>
      <c r="W204" s="517"/>
      <c r="X204" s="517"/>
      <c r="Y204" s="517"/>
      <c r="Z204" s="517"/>
      <c r="AA204" s="517"/>
      <c r="AB204" s="517"/>
      <c r="AC204" s="517"/>
      <c r="AD204" s="517"/>
    </row>
    <row r="205" spans="3:30">
      <c r="C205" s="517"/>
      <c r="D205" s="517"/>
      <c r="E205" s="517"/>
      <c r="F205" s="517"/>
      <c r="G205" s="517"/>
      <c r="H205" s="517"/>
      <c r="I205" s="517"/>
      <c r="J205" s="517"/>
      <c r="K205" s="517"/>
      <c r="L205" s="517"/>
      <c r="M205" s="517"/>
      <c r="N205" s="517"/>
      <c r="O205" s="517"/>
      <c r="P205" s="517"/>
      <c r="Q205" s="517"/>
      <c r="R205" s="517"/>
      <c r="S205" s="517"/>
      <c r="T205" s="517"/>
      <c r="U205" s="517"/>
      <c r="V205" s="517"/>
      <c r="W205" s="517"/>
      <c r="X205" s="517"/>
      <c r="Y205" s="517"/>
      <c r="Z205" s="517"/>
      <c r="AA205" s="517"/>
      <c r="AB205" s="517"/>
      <c r="AC205" s="517"/>
      <c r="AD205" s="517"/>
    </row>
    <row r="206" spans="3:30">
      <c r="C206" s="517"/>
      <c r="D206" s="517"/>
      <c r="E206" s="517"/>
      <c r="F206" s="517"/>
      <c r="G206" s="517"/>
      <c r="H206" s="517"/>
      <c r="I206" s="517"/>
      <c r="J206" s="517"/>
      <c r="K206" s="517"/>
      <c r="L206" s="517"/>
      <c r="M206" s="517"/>
      <c r="N206" s="517"/>
      <c r="O206" s="517"/>
      <c r="P206" s="517"/>
      <c r="Q206" s="517"/>
      <c r="R206" s="517"/>
      <c r="S206" s="517"/>
      <c r="T206" s="517"/>
      <c r="U206" s="517"/>
      <c r="V206" s="517"/>
      <c r="W206" s="517"/>
      <c r="X206" s="517"/>
      <c r="Y206" s="517"/>
      <c r="Z206" s="517"/>
      <c r="AA206" s="517"/>
      <c r="AB206" s="517"/>
      <c r="AC206" s="517"/>
      <c r="AD206" s="517"/>
    </row>
    <row r="207" spans="3:30">
      <c r="C207" s="517"/>
      <c r="D207" s="517"/>
      <c r="E207" s="517"/>
      <c r="F207" s="517"/>
      <c r="G207" s="517"/>
      <c r="H207" s="517"/>
      <c r="I207" s="517"/>
      <c r="J207" s="517"/>
      <c r="K207" s="517"/>
      <c r="L207" s="517"/>
      <c r="M207" s="517"/>
      <c r="N207" s="517"/>
      <c r="O207" s="517"/>
      <c r="P207" s="517"/>
      <c r="Q207" s="517"/>
      <c r="R207" s="517"/>
      <c r="S207" s="517"/>
      <c r="T207" s="517"/>
      <c r="U207" s="517"/>
      <c r="V207" s="517"/>
      <c r="W207" s="517"/>
      <c r="X207" s="517"/>
      <c r="Y207" s="517"/>
      <c r="Z207" s="517"/>
      <c r="AA207" s="517"/>
      <c r="AB207" s="517"/>
      <c r="AC207" s="517"/>
      <c r="AD207" s="517"/>
    </row>
    <row r="208" spans="3:30">
      <c r="C208" s="517"/>
      <c r="D208" s="517"/>
      <c r="E208" s="517"/>
      <c r="F208" s="517"/>
      <c r="G208" s="517"/>
      <c r="H208" s="517"/>
      <c r="I208" s="517"/>
      <c r="J208" s="517"/>
      <c r="K208" s="517"/>
      <c r="L208" s="517"/>
      <c r="M208" s="517"/>
      <c r="N208" s="517"/>
      <c r="O208" s="517"/>
      <c r="P208" s="517"/>
      <c r="Q208" s="517"/>
      <c r="R208" s="517"/>
      <c r="S208" s="517"/>
      <c r="T208" s="517"/>
      <c r="U208" s="517"/>
      <c r="V208" s="517"/>
      <c r="W208" s="517"/>
      <c r="X208" s="517"/>
      <c r="Y208" s="517"/>
      <c r="Z208" s="517"/>
      <c r="AA208" s="517"/>
      <c r="AB208" s="517"/>
      <c r="AC208" s="517"/>
      <c r="AD208" s="517"/>
    </row>
    <row r="209" spans="3:30">
      <c r="C209" s="517"/>
      <c r="D209" s="517"/>
      <c r="E209" s="517"/>
      <c r="F209" s="517"/>
      <c r="G209" s="517"/>
      <c r="H209" s="517"/>
      <c r="I209" s="517"/>
      <c r="J209" s="517"/>
      <c r="K209" s="517"/>
      <c r="L209" s="517"/>
      <c r="M209" s="517"/>
      <c r="N209" s="517"/>
      <c r="O209" s="517"/>
      <c r="P209" s="517"/>
      <c r="Q209" s="517"/>
      <c r="R209" s="517"/>
      <c r="S209" s="517"/>
      <c r="T209" s="517"/>
      <c r="U209" s="517"/>
      <c r="V209" s="517"/>
      <c r="W209" s="517"/>
      <c r="X209" s="517"/>
      <c r="Y209" s="517"/>
      <c r="Z209" s="517"/>
      <c r="AA209" s="517"/>
      <c r="AB209" s="517"/>
      <c r="AC209" s="517"/>
      <c r="AD209" s="517"/>
    </row>
    <row r="210" spans="3:30">
      <c r="C210" s="517"/>
      <c r="D210" s="517"/>
      <c r="E210" s="517"/>
      <c r="F210" s="517"/>
      <c r="G210" s="517"/>
      <c r="H210" s="517"/>
      <c r="I210" s="517"/>
      <c r="J210" s="517"/>
      <c r="K210" s="517"/>
      <c r="L210" s="517"/>
      <c r="M210" s="517"/>
      <c r="N210" s="517"/>
      <c r="O210" s="517"/>
      <c r="P210" s="517"/>
      <c r="Q210" s="517"/>
      <c r="R210" s="517"/>
      <c r="S210" s="517"/>
      <c r="T210" s="517"/>
      <c r="U210" s="517"/>
      <c r="V210" s="517"/>
      <c r="W210" s="517"/>
      <c r="X210" s="517"/>
      <c r="Y210" s="517"/>
      <c r="Z210" s="517"/>
      <c r="AA210" s="517"/>
      <c r="AB210" s="517"/>
      <c r="AC210" s="517"/>
      <c r="AD210" s="517"/>
    </row>
    <row r="211" spans="3:30">
      <c r="C211" s="517"/>
      <c r="D211" s="517"/>
      <c r="E211" s="517"/>
      <c r="F211" s="517"/>
      <c r="G211" s="517"/>
      <c r="H211" s="517"/>
      <c r="I211" s="517"/>
      <c r="J211" s="517"/>
      <c r="K211" s="517"/>
      <c r="L211" s="517"/>
      <c r="M211" s="517"/>
      <c r="N211" s="517"/>
      <c r="O211" s="517"/>
      <c r="P211" s="517"/>
      <c r="Q211" s="517"/>
      <c r="R211" s="517"/>
      <c r="S211" s="517"/>
      <c r="T211" s="517"/>
      <c r="U211" s="517"/>
      <c r="V211" s="517"/>
      <c r="W211" s="517"/>
      <c r="X211" s="517"/>
      <c r="Y211" s="517"/>
      <c r="Z211" s="517"/>
      <c r="AA211" s="517"/>
      <c r="AB211" s="517"/>
      <c r="AC211" s="517"/>
      <c r="AD211" s="517"/>
    </row>
    <row r="212" spans="3:30">
      <c r="C212" s="517"/>
      <c r="D212" s="517"/>
      <c r="E212" s="517"/>
      <c r="F212" s="517"/>
      <c r="G212" s="517"/>
      <c r="H212" s="517"/>
      <c r="I212" s="517"/>
      <c r="J212" s="517"/>
      <c r="K212" s="517"/>
      <c r="L212" s="517"/>
      <c r="M212" s="517"/>
      <c r="N212" s="517"/>
      <c r="O212" s="517"/>
      <c r="P212" s="517"/>
      <c r="Q212" s="517"/>
      <c r="R212" s="517"/>
      <c r="S212" s="517"/>
      <c r="T212" s="517"/>
      <c r="U212" s="517"/>
      <c r="V212" s="517"/>
      <c r="W212" s="517"/>
      <c r="X212" s="517"/>
      <c r="Y212" s="517"/>
      <c r="Z212" s="517"/>
      <c r="AA212" s="517"/>
      <c r="AB212" s="517"/>
      <c r="AC212" s="517"/>
      <c r="AD212" s="517"/>
    </row>
    <row r="213" spans="3:30">
      <c r="C213" s="517"/>
      <c r="D213" s="517"/>
      <c r="E213" s="517"/>
      <c r="F213" s="517"/>
      <c r="G213" s="517"/>
      <c r="H213" s="517"/>
      <c r="I213" s="517"/>
      <c r="J213" s="517"/>
      <c r="K213" s="517"/>
      <c r="L213" s="517"/>
      <c r="M213" s="517"/>
      <c r="N213" s="517"/>
      <c r="O213" s="517"/>
      <c r="P213" s="517"/>
      <c r="Q213" s="517"/>
      <c r="R213" s="517"/>
      <c r="S213" s="517"/>
      <c r="T213" s="517"/>
      <c r="U213" s="517"/>
      <c r="V213" s="517"/>
      <c r="W213" s="517"/>
      <c r="X213" s="517"/>
      <c r="Y213" s="517"/>
      <c r="Z213" s="517"/>
      <c r="AA213" s="517"/>
      <c r="AB213" s="517"/>
      <c r="AC213" s="517"/>
      <c r="AD213" s="517"/>
    </row>
    <row r="214" spans="3:30">
      <c r="C214" s="517"/>
      <c r="D214" s="517"/>
      <c r="E214" s="517"/>
      <c r="F214" s="517"/>
      <c r="G214" s="517"/>
      <c r="H214" s="517"/>
      <c r="I214" s="517"/>
      <c r="J214" s="517"/>
      <c r="K214" s="517"/>
      <c r="L214" s="517"/>
      <c r="M214" s="517"/>
      <c r="N214" s="517"/>
      <c r="O214" s="517"/>
      <c r="P214" s="517"/>
      <c r="Q214" s="517"/>
      <c r="R214" s="517"/>
      <c r="S214" s="517"/>
      <c r="T214" s="517"/>
      <c r="U214" s="517"/>
      <c r="V214" s="517"/>
      <c r="W214" s="517"/>
      <c r="X214" s="517"/>
      <c r="Y214" s="517"/>
      <c r="Z214" s="517"/>
      <c r="AA214" s="517"/>
      <c r="AB214" s="517"/>
      <c r="AC214" s="517"/>
      <c r="AD214" s="517"/>
    </row>
    <row r="215" spans="3:30">
      <c r="C215" s="517"/>
      <c r="D215" s="517"/>
      <c r="E215" s="517"/>
      <c r="F215" s="517"/>
      <c r="G215" s="517"/>
      <c r="H215" s="517"/>
      <c r="I215" s="517"/>
      <c r="J215" s="517"/>
      <c r="K215" s="517"/>
      <c r="L215" s="517"/>
      <c r="M215" s="517"/>
      <c r="N215" s="517"/>
      <c r="O215" s="517"/>
      <c r="P215" s="517"/>
      <c r="Q215" s="517"/>
      <c r="R215" s="517"/>
      <c r="S215" s="517"/>
      <c r="T215" s="517"/>
      <c r="U215" s="517"/>
      <c r="V215" s="517"/>
      <c r="W215" s="517"/>
      <c r="X215" s="517"/>
      <c r="Y215" s="517"/>
      <c r="Z215" s="517"/>
      <c r="AA215" s="517"/>
      <c r="AB215" s="517"/>
      <c r="AC215" s="517"/>
      <c r="AD215" s="517"/>
    </row>
    <row r="216" spans="3:30">
      <c r="C216" s="517"/>
      <c r="D216" s="517"/>
      <c r="E216" s="517"/>
      <c r="F216" s="517"/>
      <c r="G216" s="517"/>
      <c r="H216" s="517"/>
      <c r="I216" s="517"/>
      <c r="J216" s="517"/>
      <c r="K216" s="517"/>
      <c r="L216" s="517"/>
      <c r="M216" s="517"/>
      <c r="N216" s="517"/>
      <c r="O216" s="517"/>
      <c r="P216" s="517"/>
      <c r="Q216" s="517"/>
      <c r="R216" s="517"/>
      <c r="S216" s="517"/>
      <c r="T216" s="517"/>
      <c r="U216" s="517"/>
      <c r="V216" s="517"/>
      <c r="W216" s="517"/>
      <c r="X216" s="517"/>
      <c r="Y216" s="517"/>
      <c r="Z216" s="517"/>
      <c r="AA216" s="517"/>
      <c r="AB216" s="517"/>
      <c r="AC216" s="517"/>
      <c r="AD216" s="517"/>
    </row>
    <row r="217" spans="3:30">
      <c r="C217" s="517"/>
      <c r="D217" s="517"/>
      <c r="E217" s="517"/>
      <c r="F217" s="517"/>
      <c r="G217" s="517"/>
      <c r="H217" s="517"/>
      <c r="I217" s="517"/>
      <c r="J217" s="517"/>
      <c r="K217" s="517"/>
      <c r="L217" s="517"/>
      <c r="M217" s="517"/>
      <c r="N217" s="517"/>
      <c r="O217" s="517"/>
      <c r="P217" s="517"/>
      <c r="Q217" s="517"/>
      <c r="R217" s="517"/>
      <c r="S217" s="517"/>
      <c r="T217" s="517"/>
      <c r="U217" s="517"/>
      <c r="V217" s="517"/>
      <c r="W217" s="517"/>
      <c r="X217" s="517"/>
      <c r="Y217" s="517"/>
      <c r="Z217" s="517"/>
      <c r="AA217" s="517"/>
      <c r="AB217" s="517"/>
      <c r="AC217" s="517"/>
      <c r="AD217" s="517"/>
    </row>
    <row r="218" spans="3:30">
      <c r="C218" s="517"/>
      <c r="D218" s="517"/>
      <c r="E218" s="517"/>
      <c r="F218" s="517"/>
      <c r="G218" s="517"/>
      <c r="H218" s="517"/>
      <c r="I218" s="517"/>
      <c r="J218" s="517"/>
      <c r="K218" s="517"/>
      <c r="L218" s="517"/>
      <c r="M218" s="517"/>
      <c r="N218" s="517"/>
      <c r="O218" s="517"/>
      <c r="P218" s="517"/>
      <c r="Q218" s="517"/>
      <c r="R218" s="517"/>
      <c r="S218" s="517"/>
      <c r="T218" s="517"/>
      <c r="U218" s="517"/>
      <c r="V218" s="517"/>
      <c r="W218" s="517"/>
      <c r="X218" s="517"/>
      <c r="Y218" s="517"/>
      <c r="Z218" s="517"/>
      <c r="AA218" s="517"/>
      <c r="AB218" s="517"/>
      <c r="AC218" s="517"/>
      <c r="AD218" s="517"/>
    </row>
    <row r="219" spans="3:30">
      <c r="C219" s="517"/>
      <c r="D219" s="517"/>
      <c r="E219" s="517"/>
      <c r="F219" s="517"/>
      <c r="G219" s="517"/>
      <c r="H219" s="517"/>
      <c r="I219" s="517"/>
      <c r="J219" s="517"/>
      <c r="K219" s="517"/>
      <c r="L219" s="517"/>
      <c r="M219" s="517"/>
      <c r="N219" s="517"/>
      <c r="O219" s="517"/>
      <c r="P219" s="517"/>
      <c r="Q219" s="517"/>
      <c r="R219" s="517"/>
      <c r="S219" s="517"/>
      <c r="T219" s="517"/>
      <c r="U219" s="517"/>
      <c r="V219" s="517"/>
      <c r="W219" s="517"/>
      <c r="X219" s="517"/>
      <c r="Y219" s="517"/>
      <c r="Z219" s="517"/>
      <c r="AA219" s="517"/>
      <c r="AB219" s="517"/>
      <c r="AC219" s="517"/>
      <c r="AD219" s="517"/>
    </row>
    <row r="220" spans="3:30">
      <c r="C220" s="517"/>
      <c r="D220" s="517"/>
      <c r="E220" s="517"/>
      <c r="F220" s="517"/>
      <c r="G220" s="517"/>
      <c r="H220" s="517"/>
      <c r="I220" s="517"/>
      <c r="J220" s="517"/>
      <c r="K220" s="517"/>
      <c r="L220" s="517"/>
      <c r="M220" s="517"/>
      <c r="N220" s="517"/>
      <c r="O220" s="517"/>
      <c r="P220" s="517"/>
      <c r="Q220" s="517"/>
      <c r="R220" s="517"/>
      <c r="S220" s="517"/>
      <c r="T220" s="517"/>
      <c r="U220" s="517"/>
      <c r="V220" s="517"/>
      <c r="W220" s="517"/>
      <c r="X220" s="517"/>
      <c r="Y220" s="517"/>
      <c r="Z220" s="517"/>
      <c r="AA220" s="517"/>
      <c r="AB220" s="517"/>
      <c r="AC220" s="517"/>
      <c r="AD220" s="517"/>
    </row>
    <row r="221" spans="3:30">
      <c r="C221" s="517"/>
      <c r="D221" s="517"/>
      <c r="E221" s="517"/>
      <c r="F221" s="517"/>
      <c r="G221" s="517"/>
      <c r="H221" s="517"/>
      <c r="I221" s="517"/>
      <c r="J221" s="517"/>
      <c r="K221" s="517"/>
      <c r="L221" s="517"/>
      <c r="M221" s="517"/>
      <c r="N221" s="517"/>
      <c r="O221" s="517"/>
      <c r="P221" s="517"/>
      <c r="Q221" s="517"/>
      <c r="R221" s="517"/>
      <c r="S221" s="517"/>
      <c r="T221" s="517"/>
      <c r="U221" s="517"/>
      <c r="V221" s="517"/>
      <c r="W221" s="517"/>
      <c r="X221" s="517"/>
      <c r="Y221" s="517"/>
      <c r="Z221" s="517"/>
      <c r="AA221" s="517"/>
      <c r="AB221" s="517"/>
      <c r="AC221" s="517"/>
      <c r="AD221" s="517"/>
    </row>
    <row r="222" spans="3:30">
      <c r="C222" s="517"/>
      <c r="D222" s="517"/>
      <c r="E222" s="517"/>
      <c r="F222" s="517"/>
      <c r="G222" s="517"/>
      <c r="H222" s="517"/>
      <c r="I222" s="517"/>
      <c r="J222" s="517"/>
      <c r="K222" s="517"/>
      <c r="L222" s="517"/>
      <c r="M222" s="517"/>
      <c r="N222" s="517"/>
      <c r="O222" s="517"/>
      <c r="P222" s="517"/>
      <c r="Q222" s="517"/>
      <c r="R222" s="517"/>
      <c r="S222" s="517"/>
      <c r="T222" s="517"/>
      <c r="U222" s="517"/>
      <c r="V222" s="517"/>
      <c r="W222" s="517"/>
      <c r="X222" s="517"/>
      <c r="Y222" s="517"/>
      <c r="Z222" s="517"/>
      <c r="AA222" s="517"/>
      <c r="AB222" s="517"/>
      <c r="AC222" s="517"/>
      <c r="AD222" s="517"/>
    </row>
    <row r="223" spans="3:30">
      <c r="C223" s="517"/>
      <c r="D223" s="517"/>
      <c r="E223" s="517"/>
      <c r="F223" s="517"/>
      <c r="G223" s="517"/>
      <c r="H223" s="517"/>
      <c r="I223" s="517"/>
      <c r="J223" s="517"/>
      <c r="K223" s="517"/>
      <c r="L223" s="517"/>
      <c r="M223" s="517"/>
      <c r="N223" s="517"/>
      <c r="O223" s="517"/>
      <c r="P223" s="517"/>
      <c r="Q223" s="517"/>
      <c r="R223" s="517"/>
      <c r="S223" s="517"/>
      <c r="T223" s="517"/>
      <c r="U223" s="517"/>
      <c r="V223" s="517"/>
      <c r="W223" s="517"/>
      <c r="X223" s="517"/>
      <c r="Y223" s="517"/>
      <c r="Z223" s="517"/>
      <c r="AA223" s="517"/>
      <c r="AB223" s="517"/>
      <c r="AC223" s="517"/>
      <c r="AD223" s="517"/>
    </row>
    <row r="224" spans="3:30">
      <c r="C224" s="517"/>
      <c r="D224" s="517"/>
      <c r="E224" s="517"/>
      <c r="F224" s="517"/>
      <c r="G224" s="517"/>
      <c r="H224" s="517"/>
      <c r="I224" s="517"/>
      <c r="J224" s="517"/>
      <c r="K224" s="517"/>
      <c r="L224" s="517"/>
      <c r="M224" s="517"/>
      <c r="N224" s="517"/>
      <c r="O224" s="517"/>
      <c r="P224" s="517"/>
      <c r="Q224" s="517"/>
      <c r="R224" s="517"/>
      <c r="S224" s="517"/>
      <c r="T224" s="517"/>
      <c r="U224" s="517"/>
      <c r="V224" s="517"/>
      <c r="W224" s="517"/>
      <c r="X224" s="517"/>
      <c r="Y224" s="517"/>
      <c r="Z224" s="517"/>
      <c r="AA224" s="517"/>
      <c r="AB224" s="517"/>
      <c r="AC224" s="517"/>
      <c r="AD224" s="517"/>
    </row>
    <row r="225" spans="3:30">
      <c r="C225" s="517"/>
      <c r="D225" s="517"/>
      <c r="E225" s="517"/>
      <c r="F225" s="517"/>
      <c r="G225" s="517"/>
      <c r="H225" s="517"/>
      <c r="I225" s="517"/>
      <c r="J225" s="517"/>
      <c r="K225" s="517"/>
      <c r="L225" s="517"/>
      <c r="M225" s="517"/>
      <c r="N225" s="517"/>
      <c r="O225" s="517"/>
      <c r="P225" s="517"/>
      <c r="Q225" s="517"/>
      <c r="R225" s="517"/>
      <c r="S225" s="517"/>
      <c r="T225" s="517"/>
      <c r="U225" s="517"/>
      <c r="V225" s="517"/>
      <c r="W225" s="517"/>
      <c r="X225" s="517"/>
      <c r="Y225" s="517"/>
      <c r="Z225" s="517"/>
      <c r="AA225" s="517"/>
      <c r="AB225" s="517"/>
      <c r="AC225" s="517"/>
      <c r="AD225" s="517"/>
    </row>
    <row r="226" spans="3:30">
      <c r="C226" s="517"/>
      <c r="D226" s="517"/>
      <c r="E226" s="517"/>
      <c r="F226" s="517"/>
      <c r="G226" s="517"/>
      <c r="H226" s="517"/>
      <c r="I226" s="517"/>
      <c r="J226" s="517"/>
      <c r="K226" s="517"/>
      <c r="L226" s="517"/>
      <c r="M226" s="517"/>
      <c r="N226" s="517"/>
      <c r="O226" s="517"/>
      <c r="P226" s="517"/>
      <c r="Q226" s="517"/>
      <c r="R226" s="517"/>
      <c r="S226" s="517"/>
      <c r="T226" s="517"/>
      <c r="U226" s="517"/>
      <c r="V226" s="517"/>
      <c r="W226" s="517"/>
      <c r="X226" s="517"/>
      <c r="Y226" s="517"/>
      <c r="Z226" s="517"/>
      <c r="AA226" s="517"/>
      <c r="AB226" s="517"/>
      <c r="AC226" s="517"/>
      <c r="AD226" s="517"/>
    </row>
    <row r="227" spans="3:30">
      <c r="C227" s="517"/>
      <c r="D227" s="517"/>
      <c r="E227" s="517"/>
      <c r="F227" s="517"/>
      <c r="G227" s="517"/>
      <c r="H227" s="517"/>
      <c r="I227" s="517"/>
      <c r="J227" s="517"/>
      <c r="K227" s="517"/>
      <c r="L227" s="517"/>
      <c r="M227" s="517"/>
      <c r="N227" s="517"/>
      <c r="O227" s="517"/>
      <c r="P227" s="517"/>
      <c r="Q227" s="517"/>
      <c r="R227" s="517"/>
      <c r="S227" s="517"/>
      <c r="T227" s="517"/>
      <c r="U227" s="517"/>
      <c r="V227" s="517"/>
      <c r="W227" s="517"/>
      <c r="X227" s="517"/>
      <c r="Y227" s="517"/>
      <c r="Z227" s="517"/>
      <c r="AA227" s="517"/>
      <c r="AB227" s="517"/>
      <c r="AC227" s="517"/>
      <c r="AD227" s="517"/>
    </row>
    <row r="228" spans="3:30">
      <c r="C228" s="517"/>
      <c r="D228" s="517"/>
      <c r="E228" s="517"/>
      <c r="F228" s="517"/>
      <c r="G228" s="517"/>
      <c r="H228" s="517"/>
      <c r="I228" s="517"/>
      <c r="J228" s="517"/>
      <c r="K228" s="517"/>
      <c r="L228" s="517"/>
      <c r="M228" s="517"/>
      <c r="N228" s="517"/>
      <c r="O228" s="517"/>
      <c r="P228" s="517"/>
      <c r="Q228" s="517"/>
      <c r="R228" s="517"/>
      <c r="S228" s="517"/>
      <c r="T228" s="517"/>
      <c r="U228" s="517"/>
      <c r="V228" s="517"/>
      <c r="W228" s="517"/>
      <c r="X228" s="517"/>
      <c r="Y228" s="517"/>
      <c r="Z228" s="517"/>
      <c r="AA228" s="517"/>
      <c r="AB228" s="517"/>
      <c r="AC228" s="517"/>
      <c r="AD228" s="517"/>
    </row>
    <row r="229" spans="3:30">
      <c r="C229" s="517"/>
      <c r="D229" s="517"/>
      <c r="E229" s="517"/>
      <c r="F229" s="517"/>
      <c r="G229" s="517"/>
      <c r="H229" s="517"/>
      <c r="I229" s="517"/>
      <c r="J229" s="517"/>
      <c r="K229" s="517"/>
      <c r="L229" s="517"/>
      <c r="M229" s="517"/>
      <c r="N229" s="517"/>
      <c r="O229" s="517"/>
      <c r="P229" s="517"/>
      <c r="Q229" s="517"/>
      <c r="R229" s="517"/>
      <c r="S229" s="517"/>
      <c r="T229" s="517"/>
      <c r="U229" s="517"/>
      <c r="V229" s="517"/>
      <c r="W229" s="517"/>
      <c r="X229" s="517"/>
      <c r="Y229" s="517"/>
      <c r="Z229" s="517"/>
      <c r="AA229" s="517"/>
      <c r="AB229" s="517"/>
      <c r="AC229" s="517"/>
      <c r="AD229" s="517"/>
    </row>
    <row r="230" spans="3:30">
      <c r="C230" s="517"/>
      <c r="D230" s="517"/>
      <c r="E230" s="517"/>
      <c r="F230" s="517"/>
      <c r="G230" s="517"/>
      <c r="H230" s="517"/>
      <c r="I230" s="517"/>
      <c r="J230" s="517"/>
      <c r="K230" s="517"/>
      <c r="L230" s="517"/>
      <c r="M230" s="517"/>
      <c r="N230" s="517"/>
      <c r="O230" s="517"/>
      <c r="P230" s="517"/>
      <c r="Q230" s="517"/>
      <c r="R230" s="517"/>
      <c r="S230" s="517"/>
      <c r="T230" s="517"/>
      <c r="U230" s="517"/>
      <c r="V230" s="517"/>
      <c r="W230" s="517"/>
      <c r="X230" s="517"/>
      <c r="Y230" s="517"/>
      <c r="Z230" s="517"/>
      <c r="AA230" s="517"/>
      <c r="AB230" s="517"/>
      <c r="AC230" s="517"/>
      <c r="AD230" s="517"/>
    </row>
    <row r="231" spans="3:30">
      <c r="C231" s="517"/>
      <c r="D231" s="517"/>
      <c r="E231" s="517"/>
      <c r="F231" s="517"/>
      <c r="G231" s="517"/>
      <c r="H231" s="517"/>
      <c r="I231" s="517"/>
      <c r="J231" s="517"/>
      <c r="K231" s="517"/>
      <c r="L231" s="517"/>
      <c r="M231" s="517"/>
      <c r="N231" s="517"/>
      <c r="O231" s="517"/>
      <c r="P231" s="517"/>
      <c r="Q231" s="517"/>
      <c r="R231" s="517"/>
      <c r="S231" s="517"/>
      <c r="T231" s="517"/>
      <c r="U231" s="517"/>
      <c r="V231" s="517"/>
      <c r="W231" s="517"/>
      <c r="X231" s="517"/>
      <c r="Y231" s="517"/>
      <c r="Z231" s="517"/>
      <c r="AA231" s="517"/>
      <c r="AB231" s="517"/>
      <c r="AC231" s="517"/>
      <c r="AD231" s="517"/>
    </row>
    <row r="232" spans="3:30">
      <c r="C232" s="517"/>
      <c r="D232" s="517"/>
      <c r="E232" s="517"/>
      <c r="F232" s="517"/>
      <c r="G232" s="517"/>
      <c r="H232" s="517"/>
      <c r="I232" s="517"/>
      <c r="J232" s="517"/>
      <c r="K232" s="517"/>
      <c r="L232" s="517"/>
      <c r="M232" s="517"/>
      <c r="N232" s="517"/>
      <c r="O232" s="517"/>
      <c r="P232" s="517"/>
      <c r="Q232" s="517"/>
      <c r="R232" s="517"/>
      <c r="S232" s="517"/>
      <c r="T232" s="517"/>
      <c r="U232" s="517"/>
      <c r="V232" s="517"/>
      <c r="W232" s="517"/>
      <c r="X232" s="517"/>
      <c r="Y232" s="517"/>
      <c r="Z232" s="517"/>
      <c r="AA232" s="517"/>
      <c r="AB232" s="517"/>
      <c r="AC232" s="517"/>
      <c r="AD232" s="517"/>
    </row>
    <row r="233" spans="3:30">
      <c r="C233" s="517"/>
      <c r="D233" s="517"/>
      <c r="E233" s="517"/>
      <c r="F233" s="517"/>
      <c r="G233" s="517"/>
      <c r="H233" s="517"/>
      <c r="I233" s="517"/>
      <c r="J233" s="517"/>
      <c r="K233" s="517"/>
      <c r="L233" s="517"/>
      <c r="M233" s="517"/>
      <c r="N233" s="517"/>
      <c r="O233" s="517"/>
      <c r="P233" s="517"/>
      <c r="Q233" s="517"/>
      <c r="R233" s="517"/>
      <c r="S233" s="517"/>
      <c r="T233" s="517"/>
      <c r="U233" s="517"/>
      <c r="V233" s="517"/>
      <c r="W233" s="517"/>
      <c r="X233" s="517"/>
      <c r="Y233" s="517"/>
      <c r="Z233" s="517"/>
      <c r="AA233" s="517"/>
      <c r="AB233" s="517"/>
      <c r="AC233" s="517"/>
      <c r="AD233" s="517"/>
    </row>
    <row r="234" spans="3:30">
      <c r="C234" s="517"/>
      <c r="D234" s="517"/>
      <c r="E234" s="517"/>
      <c r="F234" s="517"/>
      <c r="G234" s="517"/>
      <c r="H234" s="517"/>
      <c r="I234" s="517"/>
      <c r="J234" s="517"/>
      <c r="K234" s="517"/>
      <c r="L234" s="517"/>
      <c r="M234" s="517"/>
      <c r="N234" s="517"/>
      <c r="O234" s="517"/>
      <c r="P234" s="517"/>
      <c r="Q234" s="517"/>
      <c r="R234" s="517"/>
      <c r="S234" s="517"/>
      <c r="T234" s="517"/>
      <c r="U234" s="517"/>
      <c r="V234" s="517"/>
      <c r="W234" s="517"/>
      <c r="X234" s="517"/>
      <c r="Y234" s="517"/>
      <c r="Z234" s="517"/>
      <c r="AA234" s="517"/>
      <c r="AB234" s="517"/>
      <c r="AC234" s="517"/>
      <c r="AD234" s="517"/>
    </row>
    <row r="235" spans="3:30">
      <c r="C235" s="517"/>
      <c r="D235" s="517"/>
      <c r="E235" s="517"/>
      <c r="F235" s="517"/>
      <c r="G235" s="517"/>
      <c r="H235" s="517"/>
      <c r="I235" s="517"/>
      <c r="J235" s="517"/>
      <c r="K235" s="517"/>
      <c r="L235" s="517"/>
      <c r="M235" s="517"/>
      <c r="N235" s="517"/>
      <c r="O235" s="517"/>
      <c r="P235" s="517"/>
      <c r="Q235" s="517"/>
      <c r="R235" s="517"/>
      <c r="S235" s="517"/>
      <c r="T235" s="517"/>
      <c r="U235" s="517"/>
      <c r="V235" s="517"/>
      <c r="W235" s="517"/>
      <c r="X235" s="517"/>
      <c r="Y235" s="517"/>
      <c r="Z235" s="517"/>
      <c r="AA235" s="517"/>
      <c r="AB235" s="517"/>
      <c r="AC235" s="517"/>
      <c r="AD235" s="517"/>
    </row>
    <row r="236" spans="3:30">
      <c r="C236" s="517"/>
      <c r="D236" s="517"/>
      <c r="E236" s="517"/>
      <c r="F236" s="517"/>
      <c r="G236" s="517"/>
      <c r="H236" s="517"/>
      <c r="I236" s="517"/>
      <c r="J236" s="517"/>
      <c r="K236" s="517"/>
      <c r="L236" s="517"/>
      <c r="M236" s="517"/>
      <c r="N236" s="517"/>
      <c r="O236" s="517"/>
      <c r="P236" s="517"/>
      <c r="Q236" s="517"/>
      <c r="R236" s="517"/>
      <c r="S236" s="517"/>
      <c r="T236" s="517"/>
      <c r="U236" s="517"/>
      <c r="V236" s="517"/>
      <c r="W236" s="517"/>
      <c r="X236" s="517"/>
      <c r="Y236" s="517"/>
      <c r="Z236" s="517"/>
      <c r="AA236" s="517"/>
      <c r="AB236" s="517"/>
      <c r="AC236" s="517"/>
      <c r="AD236" s="517"/>
    </row>
    <row r="237" spans="3:30">
      <c r="C237" s="517"/>
      <c r="D237" s="517"/>
      <c r="E237" s="517"/>
      <c r="F237" s="517"/>
      <c r="G237" s="517"/>
      <c r="H237" s="517"/>
      <c r="I237" s="517"/>
      <c r="J237" s="517"/>
      <c r="K237" s="517"/>
      <c r="L237" s="517"/>
      <c r="M237" s="517"/>
      <c r="N237" s="517"/>
      <c r="O237" s="517"/>
      <c r="P237" s="517"/>
      <c r="Q237" s="517"/>
      <c r="R237" s="517"/>
      <c r="S237" s="517"/>
      <c r="T237" s="517"/>
      <c r="U237" s="517"/>
      <c r="V237" s="517"/>
      <c r="W237" s="517"/>
      <c r="X237" s="517"/>
      <c r="Y237" s="517"/>
      <c r="Z237" s="517"/>
      <c r="AA237" s="517"/>
      <c r="AB237" s="517"/>
      <c r="AC237" s="517"/>
      <c r="AD237" s="517"/>
    </row>
    <row r="238" spans="3:30">
      <c r="C238" s="517"/>
      <c r="D238" s="517"/>
      <c r="E238" s="517"/>
      <c r="F238" s="517"/>
      <c r="G238" s="517"/>
      <c r="H238" s="517"/>
      <c r="I238" s="517"/>
      <c r="J238" s="517"/>
      <c r="K238" s="517"/>
      <c r="L238" s="517"/>
      <c r="M238" s="517"/>
      <c r="N238" s="517"/>
      <c r="O238" s="517"/>
      <c r="P238" s="517"/>
      <c r="Q238" s="517"/>
      <c r="R238" s="517"/>
      <c r="S238" s="517"/>
      <c r="T238" s="517"/>
      <c r="U238" s="517"/>
      <c r="V238" s="517"/>
      <c r="W238" s="517"/>
      <c r="X238" s="517"/>
      <c r="Y238" s="517"/>
      <c r="Z238" s="517"/>
      <c r="AA238" s="517"/>
      <c r="AB238" s="517"/>
      <c r="AC238" s="517"/>
      <c r="AD238" s="517"/>
    </row>
    <row r="239" spans="3:30">
      <c r="C239" s="517"/>
      <c r="D239" s="517"/>
      <c r="E239" s="517"/>
      <c r="F239" s="517"/>
      <c r="G239" s="517"/>
      <c r="H239" s="517"/>
      <c r="I239" s="517"/>
      <c r="J239" s="517"/>
      <c r="K239" s="517"/>
      <c r="L239" s="517"/>
      <c r="M239" s="517"/>
      <c r="N239" s="517"/>
      <c r="O239" s="517"/>
      <c r="P239" s="517"/>
      <c r="Q239" s="517"/>
      <c r="R239" s="517"/>
      <c r="S239" s="517"/>
      <c r="T239" s="517"/>
      <c r="U239" s="517"/>
      <c r="V239" s="517"/>
      <c r="W239" s="517"/>
      <c r="X239" s="517"/>
      <c r="Y239" s="517"/>
      <c r="Z239" s="517"/>
      <c r="AA239" s="517"/>
      <c r="AB239" s="517"/>
      <c r="AC239" s="517"/>
      <c r="AD239" s="517"/>
    </row>
    <row r="240" spans="3:30">
      <c r="C240" s="517"/>
      <c r="D240" s="517"/>
      <c r="E240" s="517"/>
      <c r="F240" s="517"/>
      <c r="G240" s="517"/>
      <c r="H240" s="517"/>
      <c r="I240" s="517"/>
      <c r="J240" s="517"/>
      <c r="K240" s="517"/>
      <c r="L240" s="517"/>
      <c r="M240" s="517"/>
      <c r="N240" s="517"/>
      <c r="O240" s="517"/>
      <c r="P240" s="517"/>
      <c r="Q240" s="517"/>
      <c r="R240" s="517"/>
      <c r="S240" s="517"/>
      <c r="T240" s="517"/>
      <c r="U240" s="517"/>
      <c r="V240" s="517"/>
      <c r="W240" s="517"/>
      <c r="X240" s="517"/>
      <c r="Y240" s="517"/>
      <c r="Z240" s="517"/>
      <c r="AA240" s="517"/>
      <c r="AB240" s="517"/>
      <c r="AC240" s="517"/>
      <c r="AD240" s="517"/>
    </row>
    <row r="241" spans="3:30">
      <c r="C241" s="517"/>
      <c r="D241" s="517"/>
      <c r="E241" s="517"/>
      <c r="F241" s="517"/>
      <c r="G241" s="517"/>
      <c r="H241" s="517"/>
      <c r="I241" s="517"/>
      <c r="J241" s="517"/>
      <c r="K241" s="517"/>
      <c r="L241" s="517"/>
      <c r="M241" s="517"/>
      <c r="N241" s="517"/>
      <c r="O241" s="517"/>
      <c r="P241" s="517"/>
      <c r="Q241" s="517"/>
      <c r="R241" s="517"/>
      <c r="S241" s="517"/>
      <c r="T241" s="517"/>
      <c r="U241" s="517"/>
      <c r="V241" s="517"/>
      <c r="W241" s="517"/>
      <c r="X241" s="517"/>
      <c r="Y241" s="517"/>
      <c r="Z241" s="517"/>
      <c r="AA241" s="517"/>
      <c r="AB241" s="517"/>
      <c r="AC241" s="517"/>
      <c r="AD241" s="517"/>
    </row>
    <row r="242" spans="3:30">
      <c r="C242" s="517"/>
      <c r="D242" s="517"/>
      <c r="E242" s="517"/>
      <c r="F242" s="517"/>
      <c r="G242" s="517"/>
      <c r="H242" s="517"/>
      <c r="I242" s="517"/>
      <c r="J242" s="517"/>
      <c r="K242" s="517"/>
      <c r="L242" s="517"/>
      <c r="M242" s="517"/>
      <c r="N242" s="517"/>
      <c r="O242" s="517"/>
      <c r="P242" s="517"/>
      <c r="Q242" s="517"/>
      <c r="R242" s="517"/>
      <c r="S242" s="517"/>
      <c r="T242" s="517"/>
      <c r="U242" s="517"/>
      <c r="V242" s="517"/>
      <c r="W242" s="517"/>
      <c r="X242" s="517"/>
      <c r="Y242" s="517"/>
      <c r="Z242" s="517"/>
      <c r="AA242" s="517"/>
      <c r="AB242" s="517"/>
      <c r="AC242" s="517"/>
      <c r="AD242" s="517"/>
    </row>
    <row r="243" spans="3:30">
      <c r="C243" s="517"/>
      <c r="D243" s="517"/>
      <c r="E243" s="517"/>
      <c r="F243" s="517"/>
      <c r="G243" s="517"/>
      <c r="H243" s="517"/>
      <c r="I243" s="517"/>
      <c r="J243" s="517"/>
      <c r="K243" s="517"/>
      <c r="L243" s="517"/>
      <c r="M243" s="517"/>
      <c r="N243" s="517"/>
      <c r="O243" s="517"/>
      <c r="P243" s="517"/>
      <c r="Q243" s="517"/>
      <c r="R243" s="517"/>
      <c r="S243" s="517"/>
      <c r="T243" s="517"/>
      <c r="U243" s="517"/>
      <c r="V243" s="517"/>
      <c r="W243" s="517"/>
      <c r="X243" s="517"/>
      <c r="Y243" s="517"/>
      <c r="Z243" s="517"/>
      <c r="AA243" s="517"/>
      <c r="AB243" s="517"/>
      <c r="AC243" s="517"/>
      <c r="AD243" s="517"/>
    </row>
    <row r="244" spans="3:30">
      <c r="C244" s="517"/>
      <c r="D244" s="517"/>
      <c r="E244" s="517"/>
      <c r="F244" s="517"/>
      <c r="G244" s="517"/>
      <c r="H244" s="517"/>
      <c r="I244" s="517"/>
      <c r="J244" s="517"/>
      <c r="K244" s="517"/>
      <c r="L244" s="517"/>
      <c r="M244" s="517"/>
      <c r="N244" s="517"/>
      <c r="O244" s="517"/>
      <c r="P244" s="517"/>
      <c r="Q244" s="517"/>
      <c r="R244" s="517"/>
      <c r="S244" s="517"/>
      <c r="T244" s="517"/>
      <c r="U244" s="517"/>
      <c r="V244" s="517"/>
      <c r="W244" s="517"/>
      <c r="X244" s="517"/>
      <c r="Y244" s="517"/>
      <c r="Z244" s="517"/>
      <c r="AA244" s="517"/>
      <c r="AB244" s="517"/>
      <c r="AC244" s="517"/>
      <c r="AD244" s="517"/>
    </row>
    <row r="245" spans="3:30">
      <c r="C245" s="517"/>
      <c r="D245" s="517"/>
      <c r="E245" s="517"/>
      <c r="F245" s="517"/>
      <c r="G245" s="517"/>
      <c r="H245" s="517"/>
      <c r="I245" s="517"/>
      <c r="J245" s="517"/>
      <c r="K245" s="517"/>
      <c r="L245" s="517"/>
      <c r="M245" s="517"/>
      <c r="N245" s="517"/>
      <c r="O245" s="517"/>
      <c r="P245" s="517"/>
      <c r="Q245" s="517"/>
      <c r="R245" s="517"/>
      <c r="S245" s="517"/>
      <c r="T245" s="517"/>
      <c r="U245" s="517"/>
      <c r="V245" s="517"/>
      <c r="W245" s="517"/>
      <c r="X245" s="517"/>
      <c r="Y245" s="517"/>
      <c r="Z245" s="517"/>
      <c r="AA245" s="517"/>
      <c r="AB245" s="517"/>
      <c r="AC245" s="517"/>
      <c r="AD245" s="517"/>
    </row>
    <row r="246" spans="3:30">
      <c r="C246" s="517"/>
      <c r="D246" s="517"/>
      <c r="E246" s="517"/>
      <c r="F246" s="517"/>
      <c r="G246" s="517"/>
      <c r="H246" s="517"/>
      <c r="I246" s="517"/>
      <c r="J246" s="517"/>
      <c r="K246" s="517"/>
      <c r="L246" s="517"/>
      <c r="M246" s="517"/>
      <c r="N246" s="517"/>
      <c r="O246" s="517"/>
      <c r="P246" s="517"/>
      <c r="Q246" s="517"/>
      <c r="R246" s="517"/>
      <c r="S246" s="517"/>
      <c r="T246" s="517"/>
      <c r="U246" s="517"/>
      <c r="V246" s="517"/>
      <c r="W246" s="517"/>
      <c r="X246" s="517"/>
      <c r="Y246" s="517"/>
      <c r="Z246" s="517"/>
      <c r="AA246" s="517"/>
      <c r="AB246" s="517"/>
      <c r="AC246" s="517"/>
      <c r="AD246" s="517"/>
    </row>
    <row r="247" spans="3:30">
      <c r="C247" s="517"/>
      <c r="D247" s="517"/>
      <c r="E247" s="517"/>
      <c r="F247" s="517"/>
      <c r="G247" s="517"/>
      <c r="H247" s="517"/>
      <c r="I247" s="517"/>
      <c r="J247" s="517"/>
      <c r="K247" s="517"/>
      <c r="L247" s="517"/>
      <c r="M247" s="517"/>
      <c r="N247" s="517"/>
      <c r="O247" s="517"/>
      <c r="P247" s="517"/>
      <c r="Q247" s="517"/>
      <c r="R247" s="517"/>
      <c r="S247" s="517"/>
      <c r="T247" s="517"/>
      <c r="U247" s="517"/>
      <c r="V247" s="517"/>
      <c r="W247" s="517"/>
      <c r="X247" s="517"/>
      <c r="Y247" s="517"/>
      <c r="Z247" s="517"/>
      <c r="AA247" s="517"/>
      <c r="AB247" s="517"/>
      <c r="AC247" s="517"/>
      <c r="AD247" s="517"/>
    </row>
    <row r="248" spans="3:30">
      <c r="C248" s="517"/>
      <c r="D248" s="517"/>
      <c r="E248" s="517"/>
      <c r="F248" s="517"/>
      <c r="G248" s="517"/>
      <c r="H248" s="517"/>
      <c r="I248" s="517"/>
      <c r="J248" s="517"/>
      <c r="K248" s="517"/>
      <c r="L248" s="517"/>
      <c r="M248" s="517"/>
      <c r="N248" s="517"/>
      <c r="O248" s="517"/>
      <c r="P248" s="517"/>
      <c r="Q248" s="517"/>
      <c r="R248" s="517"/>
      <c r="S248" s="517"/>
      <c r="T248" s="517"/>
      <c r="U248" s="517"/>
      <c r="V248" s="517"/>
      <c r="W248" s="517"/>
      <c r="X248" s="517"/>
      <c r="Y248" s="517"/>
      <c r="Z248" s="517"/>
      <c r="AA248" s="517"/>
      <c r="AB248" s="517"/>
      <c r="AC248" s="517"/>
      <c r="AD248" s="517"/>
    </row>
    <row r="249" spans="3:30">
      <c r="C249" s="517"/>
      <c r="D249" s="517"/>
      <c r="E249" s="517"/>
      <c r="F249" s="517"/>
      <c r="G249" s="517"/>
      <c r="H249" s="517"/>
      <c r="I249" s="517"/>
      <c r="J249" s="517"/>
      <c r="K249" s="517"/>
      <c r="L249" s="517"/>
      <c r="M249" s="517"/>
      <c r="N249" s="517"/>
      <c r="O249" s="517"/>
      <c r="P249" s="517"/>
      <c r="Q249" s="517"/>
      <c r="R249" s="517"/>
      <c r="S249" s="517"/>
      <c r="T249" s="517"/>
      <c r="U249" s="517"/>
      <c r="V249" s="517"/>
      <c r="W249" s="517"/>
      <c r="X249" s="517"/>
      <c r="Y249" s="517"/>
      <c r="Z249" s="517"/>
      <c r="AA249" s="517"/>
      <c r="AB249" s="517"/>
      <c r="AC249" s="517"/>
      <c r="AD249" s="517"/>
    </row>
    <row r="250" spans="3:30">
      <c r="C250" s="517"/>
      <c r="D250" s="517"/>
      <c r="E250" s="517"/>
      <c r="F250" s="517"/>
      <c r="G250" s="517"/>
      <c r="H250" s="517"/>
      <c r="I250" s="517"/>
      <c r="J250" s="517"/>
      <c r="K250" s="517"/>
      <c r="L250" s="517"/>
      <c r="M250" s="517"/>
      <c r="N250" s="517"/>
      <c r="O250" s="517"/>
      <c r="P250" s="517"/>
      <c r="Q250" s="517"/>
      <c r="R250" s="517"/>
      <c r="S250" s="517"/>
      <c r="T250" s="517"/>
      <c r="U250" s="517"/>
      <c r="V250" s="517"/>
      <c r="W250" s="517"/>
      <c r="X250" s="517"/>
      <c r="Y250" s="517"/>
      <c r="Z250" s="517"/>
      <c r="AA250" s="517"/>
      <c r="AB250" s="517"/>
      <c r="AC250" s="517"/>
      <c r="AD250" s="517"/>
    </row>
    <row r="251" spans="3:30">
      <c r="C251" s="517"/>
      <c r="D251" s="517"/>
      <c r="E251" s="517"/>
      <c r="F251" s="517"/>
      <c r="G251" s="517"/>
      <c r="H251" s="517"/>
      <c r="I251" s="517"/>
      <c r="J251" s="517"/>
      <c r="K251" s="517"/>
      <c r="L251" s="517"/>
      <c r="M251" s="517"/>
      <c r="N251" s="517"/>
      <c r="O251" s="517"/>
      <c r="P251" s="517"/>
      <c r="Q251" s="517"/>
      <c r="R251" s="517"/>
      <c r="S251" s="517"/>
      <c r="T251" s="517"/>
      <c r="U251" s="517"/>
      <c r="V251" s="517"/>
      <c r="W251" s="517"/>
      <c r="X251" s="517"/>
      <c r="Y251" s="517"/>
      <c r="Z251" s="517"/>
      <c r="AA251" s="517"/>
      <c r="AB251" s="517"/>
      <c r="AC251" s="517"/>
      <c r="AD251" s="517"/>
    </row>
    <row r="252" spans="3:30">
      <c r="C252" s="517"/>
      <c r="D252" s="517"/>
      <c r="E252" s="517"/>
      <c r="F252" s="517"/>
      <c r="G252" s="517"/>
      <c r="H252" s="517"/>
      <c r="I252" s="517"/>
      <c r="J252" s="517"/>
      <c r="K252" s="517"/>
      <c r="L252" s="517"/>
      <c r="M252" s="517"/>
      <c r="N252" s="517"/>
      <c r="O252" s="517"/>
      <c r="P252" s="517"/>
      <c r="Q252" s="517"/>
      <c r="R252" s="517"/>
      <c r="S252" s="517"/>
      <c r="T252" s="517"/>
      <c r="U252" s="517"/>
      <c r="V252" s="517"/>
      <c r="W252" s="517"/>
      <c r="X252" s="517"/>
      <c r="Y252" s="517"/>
      <c r="Z252" s="517"/>
      <c r="AA252" s="517"/>
      <c r="AB252" s="517"/>
      <c r="AC252" s="517"/>
      <c r="AD252" s="517"/>
    </row>
    <row r="253" spans="3:30">
      <c r="C253" s="517"/>
      <c r="D253" s="517"/>
      <c r="E253" s="517"/>
      <c r="F253" s="517"/>
      <c r="G253" s="517"/>
      <c r="H253" s="517"/>
      <c r="I253" s="517"/>
      <c r="J253" s="517"/>
      <c r="K253" s="517"/>
      <c r="L253" s="517"/>
      <c r="M253" s="517"/>
      <c r="N253" s="517"/>
      <c r="O253" s="517"/>
      <c r="P253" s="517"/>
      <c r="Q253" s="517"/>
      <c r="R253" s="517"/>
      <c r="S253" s="517"/>
      <c r="T253" s="517"/>
      <c r="U253" s="517"/>
      <c r="V253" s="517"/>
      <c r="W253" s="517"/>
      <c r="X253" s="517"/>
      <c r="Y253" s="517"/>
      <c r="Z253" s="517"/>
      <c r="AA253" s="517"/>
      <c r="AB253" s="517"/>
      <c r="AC253" s="517"/>
      <c r="AD253" s="517"/>
    </row>
    <row r="254" spans="3:30">
      <c r="C254" s="517"/>
      <c r="D254" s="517"/>
      <c r="E254" s="517"/>
      <c r="F254" s="517"/>
      <c r="G254" s="517"/>
      <c r="H254" s="517"/>
      <c r="I254" s="517"/>
      <c r="J254" s="517"/>
      <c r="K254" s="517"/>
      <c r="L254" s="517"/>
      <c r="M254" s="517"/>
      <c r="N254" s="517"/>
      <c r="O254" s="517"/>
      <c r="P254" s="517"/>
      <c r="Q254" s="517"/>
      <c r="R254" s="517"/>
      <c r="S254" s="517"/>
      <c r="T254" s="517"/>
      <c r="U254" s="517"/>
      <c r="V254" s="517"/>
      <c r="W254" s="517"/>
      <c r="X254" s="517"/>
      <c r="Y254" s="517"/>
      <c r="Z254" s="517"/>
      <c r="AA254" s="517"/>
      <c r="AB254" s="517"/>
      <c r="AC254" s="517"/>
      <c r="AD254" s="517"/>
    </row>
    <row r="255" spans="3:30">
      <c r="C255" s="517"/>
      <c r="D255" s="517"/>
      <c r="E255" s="517"/>
      <c r="F255" s="517"/>
      <c r="G255" s="517"/>
      <c r="H255" s="517"/>
      <c r="I255" s="517"/>
      <c r="J255" s="517"/>
      <c r="K255" s="517"/>
      <c r="L255" s="517"/>
      <c r="M255" s="517"/>
      <c r="N255" s="517"/>
      <c r="O255" s="517"/>
      <c r="P255" s="517"/>
      <c r="Q255" s="517"/>
      <c r="R255" s="517"/>
      <c r="S255" s="517"/>
      <c r="T255" s="517"/>
      <c r="U255" s="517"/>
      <c r="V255" s="517"/>
      <c r="W255" s="517"/>
      <c r="X255" s="517"/>
      <c r="Y255" s="517"/>
      <c r="Z255" s="517"/>
      <c r="AA255" s="517"/>
      <c r="AB255" s="517"/>
      <c r="AC255" s="517"/>
      <c r="AD255" s="517"/>
    </row>
    <row r="256" spans="3:30">
      <c r="C256" s="517"/>
      <c r="D256" s="517"/>
      <c r="E256" s="517"/>
      <c r="F256" s="517"/>
      <c r="G256" s="517"/>
      <c r="H256" s="517"/>
      <c r="I256" s="517"/>
      <c r="J256" s="517"/>
      <c r="K256" s="517"/>
      <c r="L256" s="517"/>
      <c r="M256" s="517"/>
      <c r="N256" s="517"/>
      <c r="O256" s="517"/>
      <c r="P256" s="517"/>
      <c r="Q256" s="517"/>
      <c r="R256" s="517"/>
      <c r="S256" s="517"/>
      <c r="T256" s="517"/>
      <c r="U256" s="517"/>
      <c r="V256" s="517"/>
      <c r="W256" s="517"/>
      <c r="X256" s="517"/>
      <c r="Y256" s="517"/>
      <c r="Z256" s="517"/>
      <c r="AA256" s="517"/>
      <c r="AB256" s="517"/>
      <c r="AC256" s="517"/>
      <c r="AD256" s="517"/>
    </row>
    <row r="257" spans="3:30">
      <c r="C257" s="517"/>
      <c r="D257" s="517"/>
      <c r="E257" s="517"/>
      <c r="F257" s="517"/>
      <c r="G257" s="517"/>
      <c r="H257" s="517"/>
      <c r="I257" s="517"/>
      <c r="J257" s="517"/>
      <c r="K257" s="517"/>
      <c r="L257" s="517"/>
      <c r="M257" s="517"/>
      <c r="N257" s="517"/>
      <c r="O257" s="517"/>
      <c r="P257" s="517"/>
      <c r="Q257" s="517"/>
      <c r="R257" s="517"/>
      <c r="S257" s="517"/>
      <c r="T257" s="517"/>
      <c r="U257" s="517"/>
      <c r="V257" s="517"/>
      <c r="W257" s="517"/>
      <c r="X257" s="517"/>
      <c r="Y257" s="517"/>
      <c r="Z257" s="517"/>
      <c r="AA257" s="517"/>
      <c r="AB257" s="517"/>
      <c r="AC257" s="517"/>
      <c r="AD257" s="517"/>
    </row>
    <row r="258" spans="3:30">
      <c r="C258" s="517"/>
      <c r="D258" s="517"/>
      <c r="E258" s="517"/>
      <c r="F258" s="517"/>
      <c r="G258" s="517"/>
      <c r="H258" s="517"/>
      <c r="I258" s="517"/>
      <c r="J258" s="517"/>
      <c r="K258" s="517"/>
      <c r="L258" s="517"/>
      <c r="M258" s="517"/>
      <c r="N258" s="517"/>
      <c r="O258" s="517"/>
      <c r="P258" s="517"/>
      <c r="Q258" s="517"/>
      <c r="R258" s="517"/>
      <c r="S258" s="517"/>
      <c r="T258" s="517"/>
      <c r="U258" s="517"/>
      <c r="V258" s="517"/>
      <c r="W258" s="517"/>
      <c r="X258" s="517"/>
      <c r="Y258" s="517"/>
      <c r="Z258" s="517"/>
      <c r="AA258" s="517"/>
      <c r="AB258" s="517"/>
      <c r="AC258" s="517"/>
      <c r="AD258" s="517"/>
    </row>
    <row r="259" spans="3:30">
      <c r="C259" s="517"/>
      <c r="D259" s="517"/>
      <c r="E259" s="517"/>
      <c r="F259" s="517"/>
      <c r="G259" s="517"/>
      <c r="H259" s="517"/>
      <c r="I259" s="517"/>
      <c r="J259" s="517"/>
      <c r="K259" s="517"/>
      <c r="L259" s="517"/>
      <c r="M259" s="517"/>
      <c r="N259" s="517"/>
      <c r="O259" s="517"/>
      <c r="P259" s="517"/>
      <c r="Q259" s="517"/>
      <c r="R259" s="517"/>
      <c r="S259" s="517"/>
      <c r="T259" s="517"/>
      <c r="U259" s="517"/>
      <c r="V259" s="517"/>
      <c r="W259" s="517"/>
      <c r="X259" s="517"/>
      <c r="Y259" s="517"/>
      <c r="Z259" s="517"/>
      <c r="AA259" s="517"/>
      <c r="AB259" s="517"/>
      <c r="AC259" s="517"/>
      <c r="AD259" s="517"/>
    </row>
    <row r="260" spans="3:30">
      <c r="C260" s="517"/>
      <c r="D260" s="517"/>
      <c r="E260" s="517"/>
      <c r="F260" s="517"/>
      <c r="G260" s="517"/>
      <c r="H260" s="517"/>
      <c r="I260" s="517"/>
      <c r="J260" s="517"/>
      <c r="K260" s="517"/>
      <c r="L260" s="517"/>
      <c r="M260" s="517"/>
      <c r="N260" s="517"/>
      <c r="O260" s="517"/>
      <c r="P260" s="517"/>
      <c r="Q260" s="517"/>
      <c r="R260" s="517"/>
      <c r="S260" s="517"/>
      <c r="T260" s="517"/>
      <c r="U260" s="517"/>
      <c r="V260" s="517"/>
      <c r="W260" s="517"/>
      <c r="X260" s="517"/>
      <c r="Y260" s="517"/>
      <c r="Z260" s="517"/>
      <c r="AA260" s="517"/>
      <c r="AB260" s="517"/>
      <c r="AC260" s="517"/>
      <c r="AD260" s="517"/>
    </row>
    <row r="261" spans="3:30">
      <c r="C261" s="517"/>
      <c r="D261" s="517"/>
      <c r="E261" s="517"/>
      <c r="F261" s="517"/>
      <c r="G261" s="517"/>
      <c r="H261" s="517"/>
      <c r="I261" s="517"/>
      <c r="J261" s="517"/>
      <c r="K261" s="517"/>
      <c r="L261" s="517"/>
      <c r="M261" s="517"/>
      <c r="N261" s="517"/>
      <c r="O261" s="517"/>
      <c r="P261" s="517"/>
      <c r="Q261" s="517"/>
      <c r="R261" s="517"/>
      <c r="S261" s="517"/>
      <c r="T261" s="517"/>
      <c r="U261" s="517"/>
      <c r="V261" s="517"/>
      <c r="W261" s="517"/>
      <c r="X261" s="517"/>
      <c r="Y261" s="517"/>
      <c r="Z261" s="517"/>
      <c r="AA261" s="517"/>
      <c r="AB261" s="517"/>
      <c r="AC261" s="517"/>
      <c r="AD261" s="517"/>
    </row>
    <row r="262" spans="3:30">
      <c r="C262" s="517"/>
      <c r="D262" s="517"/>
      <c r="E262" s="517"/>
      <c r="F262" s="517"/>
      <c r="G262" s="517"/>
      <c r="H262" s="517"/>
      <c r="I262" s="517"/>
      <c r="J262" s="517"/>
      <c r="K262" s="517"/>
      <c r="L262" s="517"/>
      <c r="M262" s="517"/>
      <c r="N262" s="517"/>
      <c r="O262" s="517"/>
      <c r="P262" s="517"/>
      <c r="Q262" s="517"/>
      <c r="R262" s="517"/>
      <c r="S262" s="517"/>
      <c r="T262" s="517"/>
      <c r="U262" s="517"/>
      <c r="V262" s="517"/>
      <c r="W262" s="517"/>
      <c r="X262" s="517"/>
      <c r="Y262" s="517"/>
      <c r="Z262" s="517"/>
      <c r="AA262" s="517"/>
      <c r="AB262" s="517"/>
      <c r="AC262" s="517"/>
      <c r="AD262" s="517"/>
    </row>
    <row r="263" spans="3:30">
      <c r="C263" s="517"/>
      <c r="D263" s="517"/>
      <c r="E263" s="517"/>
      <c r="F263" s="517"/>
      <c r="G263" s="517"/>
      <c r="H263" s="517"/>
      <c r="I263" s="517"/>
      <c r="J263" s="517"/>
      <c r="K263" s="517"/>
      <c r="L263" s="517"/>
      <c r="M263" s="517"/>
      <c r="N263" s="517"/>
      <c r="O263" s="517"/>
      <c r="P263" s="517"/>
      <c r="Q263" s="517"/>
      <c r="R263" s="517"/>
      <c r="S263" s="517"/>
      <c r="T263" s="517"/>
      <c r="U263" s="517"/>
      <c r="V263" s="517"/>
      <c r="W263" s="517"/>
      <c r="X263" s="517"/>
      <c r="Y263" s="517"/>
      <c r="Z263" s="517"/>
      <c r="AA263" s="517"/>
      <c r="AB263" s="517"/>
      <c r="AC263" s="517"/>
      <c r="AD263" s="517"/>
    </row>
    <row r="264" spans="3:30">
      <c r="C264" s="517"/>
      <c r="D264" s="517"/>
      <c r="E264" s="517"/>
      <c r="F264" s="517"/>
      <c r="G264" s="517"/>
      <c r="H264" s="517"/>
      <c r="I264" s="517"/>
      <c r="J264" s="517"/>
      <c r="K264" s="517"/>
      <c r="L264" s="517"/>
      <c r="M264" s="517"/>
      <c r="N264" s="517"/>
      <c r="O264" s="517"/>
      <c r="P264" s="517"/>
      <c r="Q264" s="517"/>
      <c r="R264" s="517"/>
      <c r="S264" s="517"/>
      <c r="T264" s="517"/>
      <c r="U264" s="517"/>
      <c r="V264" s="517"/>
      <c r="W264" s="517"/>
      <c r="X264" s="517"/>
      <c r="Y264" s="517"/>
      <c r="Z264" s="517"/>
      <c r="AA264" s="517"/>
      <c r="AB264" s="517"/>
      <c r="AC264" s="517"/>
      <c r="AD264" s="517"/>
    </row>
    <row r="265" spans="3:30">
      <c r="C265" s="517"/>
      <c r="D265" s="517"/>
      <c r="E265" s="517"/>
      <c r="F265" s="517"/>
      <c r="G265" s="517"/>
      <c r="H265" s="517"/>
      <c r="I265" s="517"/>
      <c r="J265" s="517"/>
      <c r="K265" s="517"/>
      <c r="L265" s="517"/>
      <c r="M265" s="517"/>
      <c r="N265" s="517"/>
      <c r="O265" s="517"/>
      <c r="P265" s="517"/>
      <c r="Q265" s="517"/>
      <c r="R265" s="517"/>
      <c r="S265" s="517"/>
      <c r="T265" s="517"/>
      <c r="U265" s="517"/>
      <c r="V265" s="517"/>
      <c r="W265" s="517"/>
      <c r="X265" s="517"/>
      <c r="Y265" s="517"/>
      <c r="Z265" s="517"/>
      <c r="AA265" s="517"/>
      <c r="AB265" s="517"/>
      <c r="AC265" s="517"/>
      <c r="AD265" s="517"/>
    </row>
    <row r="266" spans="3:30">
      <c r="C266" s="517"/>
      <c r="D266" s="517"/>
      <c r="E266" s="517"/>
      <c r="F266" s="517"/>
      <c r="G266" s="517"/>
      <c r="H266" s="517"/>
      <c r="I266" s="517"/>
      <c r="J266" s="517"/>
      <c r="K266" s="517"/>
      <c r="L266" s="517"/>
      <c r="M266" s="517"/>
      <c r="N266" s="517"/>
      <c r="O266" s="517"/>
      <c r="P266" s="517"/>
      <c r="Q266" s="517"/>
      <c r="R266" s="517"/>
      <c r="S266" s="517"/>
      <c r="T266" s="517"/>
      <c r="U266" s="517"/>
      <c r="V266" s="517"/>
      <c r="W266" s="517"/>
      <c r="X266" s="517"/>
      <c r="Y266" s="517"/>
      <c r="Z266" s="517"/>
      <c r="AA266" s="517"/>
      <c r="AB266" s="517"/>
      <c r="AC266" s="517"/>
      <c r="AD266" s="517"/>
    </row>
    <row r="267" spans="3:30">
      <c r="C267" s="517"/>
      <c r="D267" s="517"/>
      <c r="E267" s="517"/>
      <c r="F267" s="517"/>
      <c r="G267" s="517"/>
      <c r="H267" s="517"/>
      <c r="I267" s="517"/>
      <c r="J267" s="517"/>
      <c r="K267" s="517"/>
      <c r="L267" s="517"/>
      <c r="M267" s="517"/>
      <c r="N267" s="517"/>
      <c r="O267" s="517"/>
      <c r="P267" s="517"/>
      <c r="Q267" s="517"/>
      <c r="R267" s="517"/>
      <c r="S267" s="517"/>
      <c r="T267" s="517"/>
      <c r="U267" s="517"/>
      <c r="V267" s="517"/>
      <c r="W267" s="517"/>
      <c r="X267" s="517"/>
      <c r="Y267" s="517"/>
      <c r="Z267" s="517"/>
      <c r="AA267" s="517"/>
      <c r="AB267" s="517"/>
      <c r="AC267" s="517"/>
      <c r="AD267" s="517"/>
    </row>
    <row r="268" spans="3:30">
      <c r="C268" s="517"/>
      <c r="D268" s="517"/>
      <c r="E268" s="517"/>
      <c r="F268" s="517"/>
      <c r="G268" s="517"/>
      <c r="H268" s="517"/>
      <c r="I268" s="517"/>
      <c r="J268" s="517"/>
      <c r="K268" s="517"/>
      <c r="L268" s="517"/>
      <c r="M268" s="517"/>
      <c r="N268" s="517"/>
      <c r="O268" s="517"/>
      <c r="P268" s="517"/>
      <c r="Q268" s="517"/>
      <c r="R268" s="517"/>
      <c r="S268" s="517"/>
      <c r="T268" s="517"/>
      <c r="U268" s="517"/>
      <c r="V268" s="517"/>
      <c r="W268" s="517"/>
      <c r="X268" s="517"/>
      <c r="Y268" s="517"/>
      <c r="Z268" s="517"/>
      <c r="AA268" s="517"/>
      <c r="AB268" s="517"/>
      <c r="AC268" s="517"/>
      <c r="AD268" s="517"/>
    </row>
    <row r="269" spans="3:30">
      <c r="C269" s="517"/>
      <c r="D269" s="517"/>
      <c r="E269" s="517"/>
      <c r="F269" s="517"/>
      <c r="G269" s="517"/>
      <c r="H269" s="517"/>
      <c r="I269" s="517"/>
      <c r="J269" s="517"/>
      <c r="K269" s="517"/>
      <c r="L269" s="517"/>
      <c r="M269" s="517"/>
      <c r="N269" s="517"/>
      <c r="O269" s="517"/>
      <c r="P269" s="517"/>
      <c r="Q269" s="517"/>
      <c r="R269" s="517"/>
      <c r="S269" s="517"/>
      <c r="T269" s="517"/>
      <c r="U269" s="517"/>
      <c r="V269" s="517"/>
      <c r="W269" s="517"/>
      <c r="X269" s="517"/>
      <c r="Y269" s="517"/>
      <c r="Z269" s="517"/>
      <c r="AA269" s="517"/>
      <c r="AB269" s="517"/>
      <c r="AC269" s="517"/>
      <c r="AD269" s="517"/>
    </row>
    <row r="270" spans="3:30">
      <c r="C270" s="517"/>
      <c r="D270" s="517"/>
      <c r="E270" s="517"/>
      <c r="F270" s="517"/>
      <c r="G270" s="517"/>
      <c r="H270" s="517"/>
      <c r="I270" s="517"/>
      <c r="J270" s="517"/>
      <c r="K270" s="517"/>
      <c r="L270" s="517"/>
      <c r="M270" s="517"/>
      <c r="N270" s="517"/>
      <c r="O270" s="517"/>
      <c r="P270" s="517"/>
      <c r="Q270" s="517"/>
      <c r="R270" s="517"/>
      <c r="S270" s="517"/>
      <c r="T270" s="517"/>
      <c r="U270" s="517"/>
      <c r="V270" s="517"/>
      <c r="W270" s="517"/>
      <c r="X270" s="517"/>
      <c r="Y270" s="517"/>
      <c r="Z270" s="517"/>
      <c r="AA270" s="517"/>
      <c r="AB270" s="517"/>
      <c r="AC270" s="517"/>
      <c r="AD270" s="517"/>
    </row>
    <row r="271" spans="3:30">
      <c r="C271" s="517"/>
      <c r="D271" s="517"/>
      <c r="E271" s="517"/>
      <c r="F271" s="517"/>
      <c r="G271" s="517"/>
      <c r="H271" s="517"/>
      <c r="I271" s="517"/>
      <c r="J271" s="517"/>
      <c r="K271" s="517"/>
      <c r="L271" s="517"/>
      <c r="M271" s="517"/>
      <c r="N271" s="517"/>
      <c r="O271" s="517"/>
      <c r="P271" s="517"/>
      <c r="Q271" s="517"/>
      <c r="R271" s="517"/>
      <c r="S271" s="517"/>
      <c r="T271" s="517"/>
      <c r="U271" s="517"/>
      <c r="V271" s="517"/>
      <c r="W271" s="517"/>
      <c r="X271" s="517"/>
      <c r="Y271" s="517"/>
      <c r="Z271" s="517"/>
      <c r="AA271" s="517"/>
      <c r="AB271" s="517"/>
      <c r="AC271" s="517"/>
      <c r="AD271" s="517"/>
    </row>
    <row r="272" spans="3:30">
      <c r="C272" s="517"/>
      <c r="D272" s="517"/>
      <c r="E272" s="517"/>
      <c r="F272" s="517"/>
      <c r="G272" s="517"/>
      <c r="H272" s="517"/>
      <c r="I272" s="517"/>
      <c r="J272" s="517"/>
      <c r="K272" s="517"/>
      <c r="L272" s="517"/>
      <c r="M272" s="517"/>
      <c r="N272" s="517"/>
      <c r="O272" s="517"/>
      <c r="P272" s="517"/>
      <c r="Q272" s="517"/>
      <c r="R272" s="517"/>
      <c r="S272" s="517"/>
      <c r="T272" s="517"/>
      <c r="U272" s="517"/>
      <c r="V272" s="517"/>
      <c r="W272" s="517"/>
      <c r="X272" s="517"/>
      <c r="Y272" s="517"/>
      <c r="Z272" s="517"/>
      <c r="AA272" s="517"/>
      <c r="AB272" s="517"/>
      <c r="AC272" s="517"/>
      <c r="AD272" s="517"/>
    </row>
    <row r="273" spans="3:30">
      <c r="C273" s="517"/>
      <c r="D273" s="517"/>
      <c r="E273" s="517"/>
      <c r="F273" s="517"/>
      <c r="G273" s="517"/>
      <c r="H273" s="517"/>
      <c r="I273" s="517"/>
      <c r="J273" s="517"/>
      <c r="K273" s="517"/>
      <c r="L273" s="517"/>
      <c r="M273" s="517"/>
      <c r="N273" s="517"/>
      <c r="O273" s="517"/>
      <c r="P273" s="517"/>
      <c r="Q273" s="517"/>
      <c r="R273" s="517"/>
      <c r="S273" s="517"/>
      <c r="T273" s="517"/>
      <c r="U273" s="517"/>
      <c r="V273" s="517"/>
      <c r="W273" s="517"/>
      <c r="X273" s="517"/>
      <c r="Y273" s="517"/>
      <c r="Z273" s="517"/>
      <c r="AA273" s="517"/>
      <c r="AB273" s="517"/>
      <c r="AC273" s="517"/>
      <c r="AD273" s="517"/>
    </row>
    <row r="274" spans="3:30">
      <c r="C274" s="517"/>
      <c r="D274" s="517"/>
      <c r="E274" s="517"/>
      <c r="F274" s="517"/>
      <c r="G274" s="517"/>
      <c r="H274" s="517"/>
      <c r="I274" s="517"/>
      <c r="J274" s="517"/>
      <c r="K274" s="517"/>
      <c r="L274" s="517"/>
      <c r="M274" s="517"/>
      <c r="N274" s="517"/>
      <c r="O274" s="517"/>
      <c r="P274" s="517"/>
      <c r="Q274" s="517"/>
      <c r="R274" s="517"/>
      <c r="S274" s="517"/>
      <c r="T274" s="517"/>
      <c r="U274" s="517"/>
      <c r="V274" s="517"/>
      <c r="W274" s="517"/>
      <c r="X274" s="517"/>
      <c r="Y274" s="517"/>
      <c r="Z274" s="517"/>
      <c r="AA274" s="517"/>
      <c r="AB274" s="517"/>
      <c r="AC274" s="517"/>
      <c r="AD274" s="517"/>
    </row>
    <row r="275" spans="3:30">
      <c r="C275" s="517"/>
      <c r="D275" s="517"/>
      <c r="E275" s="517"/>
      <c r="F275" s="517"/>
      <c r="G275" s="517"/>
      <c r="H275" s="517"/>
      <c r="I275" s="517"/>
      <c r="J275" s="517"/>
      <c r="K275" s="517"/>
      <c r="L275" s="517"/>
      <c r="M275" s="517"/>
      <c r="N275" s="517"/>
      <c r="O275" s="517"/>
      <c r="P275" s="517"/>
      <c r="Q275" s="517"/>
      <c r="R275" s="517"/>
      <c r="S275" s="517"/>
      <c r="T275" s="517"/>
      <c r="U275" s="517"/>
      <c r="V275" s="517"/>
      <c r="W275" s="517"/>
      <c r="X275" s="517"/>
      <c r="Y275" s="517"/>
      <c r="Z275" s="517"/>
      <c r="AA275" s="517"/>
      <c r="AB275" s="517"/>
      <c r="AC275" s="517"/>
      <c r="AD275" s="517"/>
    </row>
    <row r="276" spans="3:30">
      <c r="C276" s="517"/>
      <c r="D276" s="517"/>
      <c r="E276" s="517"/>
      <c r="F276" s="517"/>
      <c r="G276" s="517"/>
      <c r="H276" s="517"/>
      <c r="I276" s="517"/>
      <c r="J276" s="517"/>
      <c r="K276" s="517"/>
      <c r="L276" s="517"/>
      <c r="M276" s="517"/>
      <c r="N276" s="517"/>
      <c r="O276" s="517"/>
      <c r="P276" s="517"/>
      <c r="Q276" s="517"/>
      <c r="R276" s="517"/>
      <c r="S276" s="517"/>
      <c r="T276" s="517"/>
      <c r="U276" s="517"/>
      <c r="V276" s="517"/>
      <c r="W276" s="517"/>
      <c r="X276" s="517"/>
      <c r="Y276" s="517"/>
      <c r="Z276" s="517"/>
      <c r="AA276" s="517"/>
      <c r="AB276" s="517"/>
      <c r="AC276" s="517"/>
      <c r="AD276" s="517"/>
    </row>
    <row r="277" spans="3:30">
      <c r="C277" s="517"/>
      <c r="D277" s="517"/>
      <c r="E277" s="517"/>
      <c r="F277" s="517"/>
      <c r="G277" s="517"/>
      <c r="H277" s="517"/>
      <c r="I277" s="517"/>
      <c r="J277" s="517"/>
      <c r="K277" s="517"/>
      <c r="L277" s="517"/>
      <c r="M277" s="517"/>
      <c r="N277" s="517"/>
      <c r="O277" s="517"/>
      <c r="P277" s="517"/>
      <c r="Q277" s="517"/>
      <c r="R277" s="517"/>
      <c r="S277" s="517"/>
      <c r="T277" s="517"/>
      <c r="U277" s="517"/>
      <c r="V277" s="517"/>
      <c r="W277" s="517"/>
      <c r="X277" s="517"/>
      <c r="Y277" s="517"/>
      <c r="Z277" s="517"/>
      <c r="AA277" s="517"/>
      <c r="AB277" s="517"/>
      <c r="AC277" s="517"/>
      <c r="AD277" s="517"/>
    </row>
    <row r="278" spans="3:30">
      <c r="C278" s="517"/>
      <c r="D278" s="517"/>
      <c r="E278" s="517"/>
      <c r="F278" s="517"/>
      <c r="G278" s="517"/>
      <c r="H278" s="517"/>
      <c r="I278" s="517"/>
      <c r="J278" s="517"/>
      <c r="K278" s="517"/>
      <c r="L278" s="517"/>
      <c r="M278" s="517"/>
      <c r="N278" s="517"/>
      <c r="O278" s="517"/>
      <c r="P278" s="517"/>
      <c r="Q278" s="517"/>
      <c r="R278" s="517"/>
      <c r="S278" s="517"/>
      <c r="T278" s="517"/>
      <c r="U278" s="517"/>
      <c r="V278" s="517"/>
      <c r="W278" s="517"/>
      <c r="X278" s="517"/>
      <c r="Y278" s="517"/>
      <c r="Z278" s="517"/>
      <c r="AA278" s="517"/>
      <c r="AB278" s="517"/>
      <c r="AC278" s="517"/>
      <c r="AD278" s="517"/>
    </row>
    <row r="279" spans="3:30">
      <c r="C279" s="517"/>
      <c r="D279" s="517"/>
      <c r="E279" s="517"/>
      <c r="F279" s="517"/>
      <c r="G279" s="517"/>
      <c r="H279" s="517"/>
      <c r="I279" s="517"/>
      <c r="J279" s="517"/>
      <c r="K279" s="517"/>
      <c r="L279" s="517"/>
      <c r="M279" s="517"/>
      <c r="N279" s="517"/>
      <c r="O279" s="517"/>
      <c r="P279" s="517"/>
      <c r="Q279" s="517"/>
      <c r="R279" s="517"/>
      <c r="S279" s="517"/>
      <c r="T279" s="517"/>
      <c r="U279" s="517"/>
      <c r="V279" s="517"/>
      <c r="W279" s="517"/>
      <c r="X279" s="517"/>
      <c r="Y279" s="517"/>
      <c r="Z279" s="517"/>
      <c r="AA279" s="517"/>
      <c r="AB279" s="517"/>
      <c r="AC279" s="517"/>
      <c r="AD279" s="517"/>
    </row>
    <row r="280" spans="3:30">
      <c r="C280" s="517"/>
      <c r="D280" s="517"/>
      <c r="E280" s="517"/>
      <c r="F280" s="517"/>
      <c r="G280" s="517"/>
      <c r="H280" s="517"/>
      <c r="I280" s="517"/>
      <c r="J280" s="517"/>
      <c r="K280" s="517"/>
      <c r="L280" s="517"/>
      <c r="M280" s="517"/>
      <c r="N280" s="517"/>
      <c r="O280" s="517"/>
      <c r="P280" s="517"/>
      <c r="Q280" s="517"/>
      <c r="R280" s="517"/>
      <c r="S280" s="517"/>
      <c r="T280" s="517"/>
      <c r="U280" s="517"/>
      <c r="V280" s="517"/>
      <c r="W280" s="517"/>
      <c r="X280" s="517"/>
      <c r="Y280" s="517"/>
      <c r="Z280" s="517"/>
      <c r="AA280" s="517"/>
      <c r="AB280" s="517"/>
      <c r="AC280" s="517"/>
      <c r="AD280" s="517"/>
    </row>
    <row r="281" spans="3:30">
      <c r="C281" s="517"/>
      <c r="D281" s="517"/>
      <c r="E281" s="517"/>
      <c r="F281" s="517"/>
      <c r="G281" s="517"/>
      <c r="H281" s="517"/>
      <c r="I281" s="517"/>
      <c r="J281" s="517"/>
      <c r="K281" s="517"/>
      <c r="L281" s="517"/>
      <c r="M281" s="517"/>
      <c r="N281" s="517"/>
      <c r="O281" s="517"/>
      <c r="P281" s="517"/>
      <c r="Q281" s="517"/>
      <c r="R281" s="517"/>
      <c r="S281" s="517"/>
      <c r="T281" s="517"/>
      <c r="U281" s="517"/>
      <c r="V281" s="517"/>
      <c r="W281" s="517"/>
      <c r="X281" s="517"/>
      <c r="Y281" s="517"/>
      <c r="Z281" s="517"/>
      <c r="AA281" s="517"/>
      <c r="AB281" s="517"/>
      <c r="AC281" s="517"/>
      <c r="AD281" s="517"/>
    </row>
    <row r="282" spans="3:30">
      <c r="C282" s="517"/>
      <c r="D282" s="517"/>
      <c r="E282" s="517"/>
      <c r="F282" s="517"/>
      <c r="G282" s="517"/>
      <c r="H282" s="517"/>
      <c r="I282" s="517"/>
      <c r="J282" s="517"/>
      <c r="K282" s="517"/>
      <c r="L282" s="517"/>
      <c r="M282" s="517"/>
      <c r="N282" s="517"/>
      <c r="O282" s="517"/>
      <c r="P282" s="517"/>
      <c r="Q282" s="517"/>
      <c r="R282" s="517"/>
      <c r="S282" s="517"/>
      <c r="T282" s="517"/>
      <c r="U282" s="517"/>
      <c r="V282" s="517"/>
      <c r="W282" s="517"/>
      <c r="X282" s="517"/>
      <c r="Y282" s="517"/>
      <c r="Z282" s="517"/>
      <c r="AA282" s="517"/>
      <c r="AB282" s="517"/>
      <c r="AC282" s="517"/>
      <c r="AD282" s="517"/>
    </row>
    <row r="283" spans="3:30">
      <c r="C283" s="517"/>
      <c r="D283" s="517"/>
      <c r="E283" s="517"/>
      <c r="F283" s="517"/>
      <c r="G283" s="517"/>
      <c r="H283" s="517"/>
      <c r="I283" s="517"/>
      <c r="J283" s="517"/>
      <c r="K283" s="517"/>
      <c r="L283" s="517"/>
      <c r="M283" s="517"/>
      <c r="N283" s="517"/>
      <c r="O283" s="517"/>
      <c r="P283" s="517"/>
      <c r="Q283" s="517"/>
      <c r="R283" s="517"/>
      <c r="S283" s="517"/>
      <c r="T283" s="517"/>
      <c r="U283" s="517"/>
      <c r="V283" s="517"/>
      <c r="W283" s="517"/>
      <c r="X283" s="517"/>
      <c r="Y283" s="517"/>
      <c r="Z283" s="517"/>
      <c r="AA283" s="517"/>
      <c r="AB283" s="517"/>
      <c r="AC283" s="517"/>
      <c r="AD283" s="517"/>
    </row>
    <row r="284" spans="3:30">
      <c r="C284" s="517"/>
      <c r="D284" s="517"/>
      <c r="E284" s="517"/>
      <c r="F284" s="517"/>
      <c r="G284" s="517"/>
      <c r="H284" s="517"/>
      <c r="I284" s="517"/>
      <c r="J284" s="517"/>
      <c r="K284" s="517"/>
      <c r="L284" s="517"/>
      <c r="M284" s="517"/>
      <c r="N284" s="517"/>
      <c r="O284" s="517"/>
      <c r="P284" s="517"/>
      <c r="Q284" s="517"/>
      <c r="R284" s="517"/>
      <c r="S284" s="517"/>
      <c r="T284" s="517"/>
      <c r="U284" s="517"/>
      <c r="V284" s="517"/>
      <c r="W284" s="517"/>
      <c r="X284" s="517"/>
      <c r="Y284" s="517"/>
      <c r="Z284" s="517"/>
      <c r="AA284" s="517"/>
      <c r="AB284" s="517"/>
      <c r="AC284" s="517"/>
      <c r="AD284" s="517"/>
    </row>
    <row r="285" spans="3:30">
      <c r="C285" s="517"/>
      <c r="D285" s="517"/>
      <c r="E285" s="517"/>
      <c r="F285" s="517"/>
      <c r="G285" s="517"/>
      <c r="H285" s="517"/>
      <c r="I285" s="517"/>
      <c r="J285" s="517"/>
      <c r="K285" s="517"/>
      <c r="L285" s="517"/>
      <c r="M285" s="517"/>
      <c r="N285" s="517"/>
      <c r="O285" s="517"/>
      <c r="P285" s="517"/>
      <c r="Q285" s="517"/>
      <c r="R285" s="517"/>
      <c r="S285" s="517"/>
      <c r="T285" s="517"/>
      <c r="U285" s="517"/>
      <c r="V285" s="517"/>
      <c r="W285" s="517"/>
      <c r="X285" s="517"/>
      <c r="Y285" s="517"/>
      <c r="Z285" s="517"/>
      <c r="AA285" s="517"/>
      <c r="AB285" s="517"/>
      <c r="AC285" s="517"/>
      <c r="AD285" s="517"/>
    </row>
    <row r="286" spans="3:30">
      <c r="C286" s="517"/>
      <c r="D286" s="517"/>
      <c r="E286" s="517"/>
      <c r="F286" s="517"/>
      <c r="G286" s="517"/>
      <c r="H286" s="517"/>
      <c r="I286" s="517"/>
      <c r="J286" s="517"/>
      <c r="K286" s="517"/>
      <c r="L286" s="517"/>
      <c r="M286" s="517"/>
      <c r="N286" s="517"/>
      <c r="O286" s="517"/>
      <c r="P286" s="517"/>
      <c r="Q286" s="517"/>
      <c r="R286" s="517"/>
      <c r="S286" s="517"/>
      <c r="T286" s="517"/>
      <c r="U286" s="517"/>
      <c r="V286" s="517"/>
      <c r="W286" s="517"/>
      <c r="X286" s="517"/>
      <c r="Y286" s="517"/>
      <c r="Z286" s="517"/>
      <c r="AA286" s="517"/>
      <c r="AB286" s="517"/>
      <c r="AC286" s="517"/>
      <c r="AD286" s="517"/>
    </row>
    <row r="287" spans="3:30">
      <c r="C287" s="517"/>
      <c r="D287" s="517"/>
      <c r="E287" s="517"/>
      <c r="F287" s="517"/>
      <c r="G287" s="517"/>
      <c r="H287" s="517"/>
      <c r="I287" s="517"/>
      <c r="J287" s="517"/>
      <c r="K287" s="517"/>
      <c r="L287" s="517"/>
      <c r="M287" s="517"/>
      <c r="N287" s="517"/>
      <c r="O287" s="517"/>
      <c r="P287" s="517"/>
      <c r="Q287" s="517"/>
      <c r="R287" s="517"/>
      <c r="S287" s="517"/>
      <c r="T287" s="517"/>
      <c r="U287" s="517"/>
      <c r="V287" s="517"/>
      <c r="W287" s="517"/>
      <c r="X287" s="517"/>
      <c r="Y287" s="517"/>
      <c r="Z287" s="517"/>
      <c r="AA287" s="517"/>
      <c r="AB287" s="517"/>
      <c r="AC287" s="517"/>
      <c r="AD287" s="517"/>
    </row>
    <row r="288" spans="3:30">
      <c r="C288" s="517"/>
      <c r="D288" s="517"/>
      <c r="E288" s="517"/>
      <c r="F288" s="517"/>
      <c r="G288" s="517"/>
      <c r="H288" s="517"/>
      <c r="I288" s="517"/>
      <c r="J288" s="517"/>
      <c r="K288" s="517"/>
      <c r="L288" s="517"/>
      <c r="M288" s="517"/>
      <c r="N288" s="517"/>
      <c r="O288" s="517"/>
      <c r="P288" s="517"/>
      <c r="Q288" s="517"/>
      <c r="R288" s="517"/>
      <c r="S288" s="517"/>
      <c r="T288" s="517"/>
      <c r="U288" s="517"/>
      <c r="V288" s="517"/>
      <c r="W288" s="517"/>
      <c r="X288" s="517"/>
      <c r="Y288" s="517"/>
      <c r="Z288" s="517"/>
      <c r="AA288" s="517"/>
      <c r="AB288" s="517"/>
      <c r="AC288" s="517"/>
      <c r="AD288" s="517"/>
    </row>
    <row r="289" spans="3:30">
      <c r="C289" s="517"/>
      <c r="D289" s="517"/>
      <c r="E289" s="517"/>
      <c r="F289" s="517"/>
      <c r="G289" s="517"/>
      <c r="H289" s="517"/>
      <c r="I289" s="517"/>
      <c r="J289" s="517"/>
      <c r="K289" s="517"/>
      <c r="L289" s="517"/>
      <c r="M289" s="517"/>
      <c r="N289" s="517"/>
      <c r="O289" s="517"/>
      <c r="P289" s="517"/>
      <c r="Q289" s="517"/>
      <c r="R289" s="517"/>
      <c r="S289" s="517"/>
      <c r="T289" s="517"/>
      <c r="U289" s="517"/>
      <c r="V289" s="517"/>
      <c r="W289" s="517"/>
      <c r="X289" s="517"/>
      <c r="Y289" s="517"/>
      <c r="Z289" s="517"/>
      <c r="AA289" s="517"/>
      <c r="AB289" s="517"/>
      <c r="AC289" s="517"/>
      <c r="AD289" s="517"/>
    </row>
    <row r="290" spans="3:30">
      <c r="C290" s="517"/>
      <c r="D290" s="517"/>
      <c r="E290" s="517"/>
      <c r="F290" s="517"/>
      <c r="G290" s="517"/>
      <c r="H290" s="517"/>
      <c r="I290" s="517"/>
      <c r="J290" s="517"/>
      <c r="K290" s="517"/>
      <c r="L290" s="517"/>
      <c r="M290" s="517"/>
      <c r="N290" s="517"/>
      <c r="O290" s="517"/>
      <c r="P290" s="517"/>
      <c r="Q290" s="517"/>
      <c r="R290" s="517"/>
      <c r="S290" s="517"/>
      <c r="T290" s="517"/>
      <c r="U290" s="517"/>
      <c r="V290" s="517"/>
      <c r="W290" s="517"/>
      <c r="X290" s="517"/>
      <c r="Y290" s="517"/>
      <c r="Z290" s="517"/>
      <c r="AA290" s="517"/>
      <c r="AB290" s="517"/>
      <c r="AC290" s="517"/>
      <c r="AD290" s="517"/>
    </row>
    <row r="291" spans="3:30">
      <c r="C291" s="517"/>
      <c r="D291" s="517"/>
      <c r="E291" s="517"/>
      <c r="F291" s="517"/>
      <c r="G291" s="517"/>
      <c r="H291" s="517"/>
      <c r="I291" s="517"/>
      <c r="J291" s="517"/>
      <c r="K291" s="517"/>
      <c r="L291" s="517"/>
      <c r="M291" s="517"/>
      <c r="N291" s="517"/>
      <c r="O291" s="517"/>
      <c r="P291" s="517"/>
      <c r="Q291" s="517"/>
      <c r="R291" s="517"/>
      <c r="S291" s="517"/>
      <c r="T291" s="517"/>
      <c r="U291" s="517"/>
      <c r="V291" s="517"/>
      <c r="W291" s="517"/>
      <c r="X291" s="517"/>
      <c r="Y291" s="517"/>
      <c r="Z291" s="517"/>
      <c r="AA291" s="517"/>
      <c r="AB291" s="517"/>
      <c r="AC291" s="517"/>
      <c r="AD291" s="517"/>
    </row>
    <row r="292" spans="3:30">
      <c r="C292" s="517"/>
      <c r="D292" s="517"/>
      <c r="E292" s="517"/>
      <c r="F292" s="517"/>
      <c r="G292" s="517"/>
      <c r="H292" s="517"/>
      <c r="I292" s="517"/>
      <c r="J292" s="517"/>
      <c r="K292" s="517"/>
      <c r="L292" s="517"/>
      <c r="M292" s="517"/>
      <c r="N292" s="517"/>
      <c r="O292" s="517"/>
      <c r="P292" s="517"/>
      <c r="Q292" s="517"/>
      <c r="R292" s="517"/>
      <c r="S292" s="517"/>
      <c r="T292" s="517"/>
      <c r="U292" s="517"/>
      <c r="V292" s="517"/>
      <c r="W292" s="517"/>
      <c r="X292" s="517"/>
      <c r="Y292" s="517"/>
      <c r="Z292" s="517"/>
      <c r="AA292" s="517"/>
      <c r="AB292" s="517"/>
      <c r="AC292" s="517"/>
      <c r="AD292" s="517"/>
    </row>
    <row r="293" spans="3:30">
      <c r="C293" s="517"/>
      <c r="D293" s="517"/>
      <c r="E293" s="517"/>
      <c r="F293" s="517"/>
      <c r="G293" s="517"/>
      <c r="H293" s="517"/>
      <c r="I293" s="517"/>
      <c r="J293" s="517"/>
      <c r="K293" s="517"/>
      <c r="L293" s="517"/>
      <c r="M293" s="517"/>
      <c r="N293" s="517"/>
      <c r="O293" s="517"/>
      <c r="P293" s="517"/>
      <c r="Q293" s="517"/>
      <c r="R293" s="517"/>
      <c r="S293" s="517"/>
      <c r="T293" s="517"/>
      <c r="U293" s="517"/>
      <c r="V293" s="517"/>
      <c r="W293" s="517"/>
      <c r="X293" s="517"/>
      <c r="Y293" s="517"/>
      <c r="Z293" s="517"/>
      <c r="AA293" s="517"/>
      <c r="AB293" s="517"/>
      <c r="AC293" s="517"/>
      <c r="AD293" s="517"/>
    </row>
    <row r="294" spans="3:30">
      <c r="C294" s="517"/>
      <c r="D294" s="517"/>
      <c r="E294" s="517"/>
      <c r="F294" s="517"/>
      <c r="G294" s="517"/>
      <c r="H294" s="517"/>
      <c r="I294" s="517"/>
      <c r="J294" s="517"/>
      <c r="K294" s="517"/>
      <c r="L294" s="517"/>
      <c r="M294" s="517"/>
      <c r="N294" s="517"/>
      <c r="O294" s="517"/>
      <c r="P294" s="517"/>
      <c r="Q294" s="517"/>
      <c r="R294" s="517"/>
      <c r="S294" s="517"/>
      <c r="T294" s="517"/>
      <c r="U294" s="517"/>
      <c r="V294" s="517"/>
      <c r="W294" s="517"/>
      <c r="X294" s="517"/>
      <c r="Y294" s="517"/>
      <c r="Z294" s="517"/>
      <c r="AA294" s="517"/>
      <c r="AB294" s="517"/>
      <c r="AC294" s="517"/>
      <c r="AD294" s="517"/>
    </row>
    <row r="295" spans="3:30">
      <c r="C295" s="517"/>
      <c r="D295" s="517"/>
      <c r="E295" s="517"/>
      <c r="F295" s="517"/>
      <c r="G295" s="517"/>
      <c r="H295" s="517"/>
      <c r="I295" s="517"/>
      <c r="J295" s="517"/>
      <c r="K295" s="517"/>
      <c r="L295" s="517"/>
      <c r="M295" s="517"/>
      <c r="N295" s="517"/>
      <c r="O295" s="517"/>
      <c r="P295" s="517"/>
      <c r="Q295" s="517"/>
      <c r="R295" s="517"/>
      <c r="S295" s="517"/>
      <c r="T295" s="517"/>
      <c r="U295" s="517"/>
      <c r="V295" s="517"/>
      <c r="W295" s="517"/>
      <c r="X295" s="517"/>
      <c r="Y295" s="517"/>
      <c r="Z295" s="517"/>
      <c r="AA295" s="517"/>
      <c r="AB295" s="517"/>
      <c r="AC295" s="517"/>
      <c r="AD295" s="517"/>
    </row>
    <row r="296" spans="3:30">
      <c r="C296" s="517"/>
      <c r="D296" s="517"/>
      <c r="E296" s="517"/>
      <c r="F296" s="517"/>
      <c r="G296" s="517"/>
      <c r="H296" s="517"/>
      <c r="I296" s="517"/>
      <c r="J296" s="517"/>
      <c r="K296" s="517"/>
      <c r="L296" s="517"/>
      <c r="M296" s="517"/>
      <c r="N296" s="517"/>
      <c r="O296" s="517"/>
      <c r="P296" s="517"/>
      <c r="Q296" s="517"/>
      <c r="R296" s="517"/>
      <c r="S296" s="517"/>
      <c r="T296" s="517"/>
      <c r="U296" s="517"/>
      <c r="V296" s="517"/>
      <c r="W296" s="517"/>
      <c r="X296" s="517"/>
      <c r="Y296" s="517"/>
      <c r="Z296" s="517"/>
      <c r="AA296" s="517"/>
      <c r="AB296" s="517"/>
      <c r="AC296" s="517"/>
      <c r="AD296" s="517"/>
    </row>
    <row r="297" spans="3:30">
      <c r="C297" s="517"/>
      <c r="D297" s="517"/>
      <c r="E297" s="517"/>
      <c r="F297" s="517"/>
      <c r="G297" s="517"/>
      <c r="H297" s="517"/>
      <c r="I297" s="517"/>
      <c r="J297" s="517"/>
      <c r="K297" s="517"/>
      <c r="L297" s="517"/>
      <c r="M297" s="517"/>
      <c r="N297" s="517"/>
      <c r="O297" s="517"/>
      <c r="P297" s="517"/>
      <c r="Q297" s="517"/>
      <c r="R297" s="517"/>
      <c r="S297" s="517"/>
      <c r="T297" s="517"/>
      <c r="U297" s="517"/>
      <c r="V297" s="517"/>
      <c r="W297" s="517"/>
      <c r="X297" s="517"/>
      <c r="Y297" s="517"/>
      <c r="Z297" s="517"/>
      <c r="AA297" s="517"/>
      <c r="AB297" s="517"/>
      <c r="AC297" s="517"/>
      <c r="AD297" s="517"/>
    </row>
    <row r="298" spans="3:30">
      <c r="C298" s="517"/>
      <c r="D298" s="517"/>
      <c r="E298" s="517"/>
      <c r="F298" s="517"/>
      <c r="G298" s="517"/>
      <c r="H298" s="517"/>
      <c r="I298" s="517"/>
      <c r="J298" s="517"/>
      <c r="K298" s="517"/>
      <c r="L298" s="517"/>
      <c r="M298" s="517"/>
      <c r="N298" s="517"/>
      <c r="O298" s="517"/>
      <c r="P298" s="517"/>
      <c r="Q298" s="517"/>
      <c r="R298" s="517"/>
      <c r="S298" s="517"/>
      <c r="T298" s="517"/>
      <c r="U298" s="517"/>
      <c r="V298" s="517"/>
      <c r="W298" s="517"/>
      <c r="X298" s="517"/>
      <c r="Y298" s="517"/>
      <c r="Z298" s="517"/>
      <c r="AA298" s="517"/>
      <c r="AB298" s="517"/>
      <c r="AC298" s="517"/>
      <c r="AD298" s="517"/>
    </row>
    <row r="299" spans="3:30">
      <c r="C299" s="517"/>
      <c r="D299" s="517"/>
      <c r="E299" s="517"/>
      <c r="F299" s="517"/>
      <c r="G299" s="517"/>
      <c r="H299" s="517"/>
      <c r="I299" s="517"/>
      <c r="J299" s="517"/>
      <c r="K299" s="517"/>
      <c r="L299" s="517"/>
      <c r="M299" s="517"/>
      <c r="N299" s="517"/>
      <c r="O299" s="517"/>
      <c r="P299" s="517"/>
      <c r="Q299" s="517"/>
      <c r="R299" s="517"/>
      <c r="S299" s="517"/>
      <c r="T299" s="517"/>
      <c r="U299" s="517"/>
      <c r="V299" s="517"/>
      <c r="W299" s="517"/>
      <c r="X299" s="517"/>
      <c r="Y299" s="517"/>
      <c r="Z299" s="517"/>
      <c r="AA299" s="517"/>
      <c r="AB299" s="517"/>
      <c r="AC299" s="517"/>
      <c r="AD299" s="517"/>
    </row>
    <row r="300" spans="3:30">
      <c r="C300" s="517"/>
      <c r="D300" s="517"/>
      <c r="E300" s="517"/>
      <c r="F300" s="517"/>
      <c r="G300" s="517"/>
      <c r="H300" s="517"/>
      <c r="I300" s="517"/>
      <c r="J300" s="517"/>
      <c r="K300" s="517"/>
      <c r="L300" s="517"/>
      <c r="M300" s="517"/>
      <c r="N300" s="517"/>
      <c r="O300" s="517"/>
      <c r="P300" s="517"/>
      <c r="Q300" s="517"/>
      <c r="R300" s="517"/>
      <c r="S300" s="517"/>
      <c r="T300" s="517"/>
      <c r="U300" s="517"/>
      <c r="V300" s="517"/>
      <c r="W300" s="517"/>
      <c r="X300" s="517"/>
      <c r="Y300" s="517"/>
      <c r="Z300" s="517"/>
      <c r="AA300" s="517"/>
      <c r="AB300" s="517"/>
      <c r="AC300" s="517"/>
      <c r="AD300" s="517"/>
    </row>
    <row r="301" spans="3:30">
      <c r="C301" s="517"/>
      <c r="D301" s="517"/>
      <c r="E301" s="517"/>
      <c r="F301" s="517"/>
      <c r="G301" s="517"/>
      <c r="H301" s="517"/>
      <c r="I301" s="517"/>
      <c r="J301" s="517"/>
      <c r="K301" s="517"/>
      <c r="L301" s="517"/>
      <c r="M301" s="517"/>
      <c r="N301" s="517"/>
      <c r="O301" s="517"/>
      <c r="P301" s="517"/>
      <c r="Q301" s="517"/>
      <c r="R301" s="517"/>
      <c r="S301" s="517"/>
      <c r="T301" s="517"/>
      <c r="U301" s="517"/>
      <c r="V301" s="517"/>
      <c r="W301" s="517"/>
      <c r="X301" s="517"/>
      <c r="Y301" s="517"/>
      <c r="Z301" s="517"/>
      <c r="AA301" s="517"/>
      <c r="AB301" s="517"/>
      <c r="AC301" s="517"/>
      <c r="AD301" s="517"/>
    </row>
    <row r="302" spans="3:30">
      <c r="C302" s="517"/>
      <c r="D302" s="517"/>
      <c r="E302" s="517"/>
      <c r="F302" s="517"/>
      <c r="G302" s="517"/>
      <c r="H302" s="517"/>
      <c r="I302" s="517"/>
      <c r="J302" s="517"/>
      <c r="K302" s="517"/>
      <c r="L302" s="517"/>
      <c r="M302" s="517"/>
      <c r="N302" s="517"/>
      <c r="O302" s="517"/>
      <c r="P302" s="517"/>
      <c r="Q302" s="517"/>
      <c r="R302" s="517"/>
      <c r="S302" s="517"/>
      <c r="T302" s="517"/>
      <c r="U302" s="517"/>
      <c r="V302" s="517"/>
      <c r="W302" s="517"/>
      <c r="X302" s="517"/>
      <c r="Y302" s="517"/>
      <c r="Z302" s="517"/>
      <c r="AA302" s="517"/>
      <c r="AB302" s="517"/>
      <c r="AC302" s="517"/>
      <c r="AD302" s="517"/>
    </row>
    <row r="303" spans="3:30">
      <c r="C303" s="517"/>
      <c r="D303" s="517"/>
      <c r="E303" s="517"/>
      <c r="F303" s="517"/>
      <c r="G303" s="517"/>
      <c r="H303" s="517"/>
      <c r="I303" s="517"/>
      <c r="J303" s="517"/>
      <c r="K303" s="517"/>
      <c r="L303" s="517"/>
      <c r="M303" s="517"/>
      <c r="N303" s="517"/>
      <c r="O303" s="517"/>
      <c r="P303" s="517"/>
      <c r="Q303" s="517"/>
      <c r="R303" s="517"/>
      <c r="S303" s="517"/>
      <c r="T303" s="517"/>
      <c r="U303" s="517"/>
      <c r="V303" s="517"/>
      <c r="W303" s="517"/>
      <c r="X303" s="517"/>
      <c r="Y303" s="517"/>
      <c r="Z303" s="517"/>
      <c r="AA303" s="517"/>
      <c r="AB303" s="517"/>
      <c r="AC303" s="517"/>
      <c r="AD303" s="517"/>
    </row>
    <row r="304" spans="3:30">
      <c r="C304" s="517"/>
      <c r="D304" s="517"/>
      <c r="E304" s="517"/>
      <c r="F304" s="517"/>
      <c r="G304" s="517"/>
      <c r="H304" s="517"/>
      <c r="I304" s="517"/>
      <c r="J304" s="517"/>
      <c r="K304" s="517"/>
      <c r="L304" s="517"/>
      <c r="M304" s="517"/>
      <c r="N304" s="517"/>
      <c r="O304" s="517"/>
      <c r="P304" s="517"/>
      <c r="Q304" s="517"/>
      <c r="R304" s="517"/>
      <c r="S304" s="517"/>
      <c r="T304" s="517"/>
      <c r="U304" s="517"/>
      <c r="V304" s="517"/>
      <c r="W304" s="517"/>
      <c r="X304" s="517"/>
      <c r="Y304" s="517"/>
      <c r="Z304" s="517"/>
      <c r="AA304" s="517"/>
      <c r="AB304" s="517"/>
      <c r="AC304" s="517"/>
      <c r="AD304" s="517"/>
    </row>
    <row r="305" spans="3:30">
      <c r="C305" s="517"/>
      <c r="D305" s="517"/>
      <c r="E305" s="517"/>
      <c r="F305" s="517"/>
      <c r="G305" s="517"/>
      <c r="H305" s="517"/>
      <c r="I305" s="517"/>
      <c r="J305" s="517"/>
      <c r="K305" s="517"/>
      <c r="L305" s="517"/>
      <c r="M305" s="517"/>
      <c r="N305" s="517"/>
      <c r="O305" s="517"/>
      <c r="P305" s="517"/>
      <c r="Q305" s="517"/>
      <c r="R305" s="517"/>
      <c r="S305" s="517"/>
      <c r="T305" s="517"/>
      <c r="U305" s="517"/>
      <c r="V305" s="517"/>
      <c r="W305" s="517"/>
      <c r="X305" s="517"/>
      <c r="Y305" s="517"/>
      <c r="Z305" s="517"/>
      <c r="AA305" s="517"/>
      <c r="AB305" s="517"/>
      <c r="AC305" s="517"/>
      <c r="AD305" s="517"/>
    </row>
    <row r="306" spans="3:30">
      <c r="C306" s="517"/>
      <c r="D306" s="517"/>
      <c r="E306" s="517"/>
      <c r="F306" s="517"/>
      <c r="G306" s="517"/>
      <c r="H306" s="517"/>
      <c r="I306" s="517"/>
      <c r="J306" s="517"/>
      <c r="K306" s="517"/>
      <c r="L306" s="517"/>
      <c r="M306" s="517"/>
      <c r="N306" s="517"/>
      <c r="O306" s="517"/>
      <c r="P306" s="517"/>
      <c r="Q306" s="517"/>
      <c r="R306" s="517"/>
      <c r="S306" s="517"/>
      <c r="T306" s="517"/>
      <c r="U306" s="517"/>
      <c r="V306" s="517"/>
      <c r="W306" s="517"/>
      <c r="X306" s="517"/>
      <c r="Y306" s="517"/>
      <c r="Z306" s="517"/>
      <c r="AA306" s="517"/>
      <c r="AB306" s="517"/>
      <c r="AC306" s="517"/>
      <c r="AD306" s="517"/>
    </row>
    <row r="307" spans="3:30">
      <c r="C307" s="517"/>
      <c r="D307" s="517"/>
      <c r="E307" s="517"/>
      <c r="F307" s="517"/>
      <c r="G307" s="517"/>
      <c r="H307" s="517"/>
      <c r="I307" s="517"/>
      <c r="J307" s="517"/>
      <c r="K307" s="517"/>
      <c r="L307" s="517"/>
      <c r="M307" s="517"/>
      <c r="N307" s="517"/>
      <c r="O307" s="517"/>
      <c r="P307" s="517"/>
      <c r="Q307" s="517"/>
      <c r="R307" s="517"/>
      <c r="S307" s="517"/>
      <c r="T307" s="517"/>
      <c r="U307" s="517"/>
      <c r="V307" s="517"/>
      <c r="W307" s="517"/>
      <c r="X307" s="517"/>
      <c r="Y307" s="517"/>
      <c r="Z307" s="517"/>
      <c r="AA307" s="517"/>
      <c r="AB307" s="517"/>
      <c r="AC307" s="517"/>
      <c r="AD307" s="517"/>
    </row>
    <row r="308" spans="3:30">
      <c r="C308" s="517"/>
      <c r="D308" s="517"/>
      <c r="E308" s="517"/>
      <c r="F308" s="517"/>
      <c r="G308" s="517"/>
      <c r="H308" s="517"/>
      <c r="I308" s="517"/>
      <c r="J308" s="517"/>
      <c r="K308" s="517"/>
      <c r="L308" s="517"/>
      <c r="M308" s="517"/>
      <c r="N308" s="517"/>
      <c r="O308" s="517"/>
      <c r="P308" s="517"/>
      <c r="Q308" s="517"/>
      <c r="R308" s="517"/>
      <c r="S308" s="517"/>
      <c r="T308" s="517"/>
      <c r="U308" s="517"/>
      <c r="V308" s="517"/>
      <c r="W308" s="517"/>
      <c r="X308" s="517"/>
      <c r="Y308" s="517"/>
      <c r="Z308" s="517"/>
      <c r="AA308" s="517"/>
      <c r="AB308" s="517"/>
      <c r="AC308" s="517"/>
      <c r="AD308" s="517"/>
    </row>
    <row r="309" spans="3:30">
      <c r="C309" s="517"/>
      <c r="D309" s="517"/>
      <c r="E309" s="517"/>
      <c r="F309" s="517"/>
      <c r="G309" s="517"/>
      <c r="H309" s="517"/>
      <c r="I309" s="517"/>
      <c r="J309" s="517"/>
      <c r="K309" s="517"/>
      <c r="L309" s="517"/>
      <c r="M309" s="517"/>
      <c r="N309" s="517"/>
      <c r="O309" s="517"/>
      <c r="P309" s="517"/>
      <c r="Q309" s="517"/>
      <c r="R309" s="517"/>
      <c r="S309" s="517"/>
      <c r="T309" s="517"/>
      <c r="U309" s="517"/>
      <c r="V309" s="517"/>
      <c r="W309" s="517"/>
      <c r="X309" s="517"/>
      <c r="Y309" s="517"/>
      <c r="Z309" s="517"/>
      <c r="AA309" s="517"/>
      <c r="AB309" s="517"/>
      <c r="AC309" s="517"/>
      <c r="AD309" s="517"/>
    </row>
    <row r="310" spans="3:30">
      <c r="C310" s="517"/>
      <c r="D310" s="517"/>
      <c r="E310" s="517"/>
      <c r="F310" s="517"/>
      <c r="G310" s="517"/>
      <c r="H310" s="517"/>
      <c r="I310" s="517"/>
      <c r="J310" s="517"/>
      <c r="K310" s="517"/>
      <c r="L310" s="517"/>
      <c r="M310" s="517"/>
      <c r="N310" s="517"/>
      <c r="O310" s="517"/>
      <c r="P310" s="517"/>
      <c r="Q310" s="517"/>
      <c r="R310" s="517"/>
      <c r="S310" s="517"/>
      <c r="T310" s="517"/>
      <c r="U310" s="517"/>
      <c r="V310" s="517"/>
      <c r="W310" s="517"/>
      <c r="X310" s="517"/>
      <c r="Y310" s="517"/>
      <c r="Z310" s="517"/>
      <c r="AA310" s="517"/>
      <c r="AB310" s="517"/>
      <c r="AC310" s="517"/>
      <c r="AD310" s="517"/>
    </row>
    <row r="311" spans="3:30">
      <c r="C311" s="517"/>
      <c r="D311" s="517"/>
      <c r="E311" s="517"/>
      <c r="F311" s="517"/>
      <c r="G311" s="517"/>
      <c r="H311" s="517"/>
      <c r="I311" s="517"/>
      <c r="J311" s="517"/>
      <c r="K311" s="517"/>
      <c r="L311" s="517"/>
      <c r="M311" s="517"/>
      <c r="N311" s="517"/>
      <c r="O311" s="517"/>
      <c r="P311" s="517"/>
      <c r="Q311" s="517"/>
      <c r="R311" s="517"/>
      <c r="S311" s="517"/>
      <c r="T311" s="517"/>
      <c r="U311" s="517"/>
      <c r="V311" s="517"/>
      <c r="W311" s="517"/>
      <c r="X311" s="517"/>
      <c r="Y311" s="517"/>
      <c r="Z311" s="517"/>
      <c r="AA311" s="517"/>
      <c r="AB311" s="517"/>
      <c r="AC311" s="517"/>
      <c r="AD311" s="517"/>
    </row>
    <row r="312" spans="3:30">
      <c r="C312" s="517"/>
      <c r="D312" s="517"/>
      <c r="E312" s="517"/>
      <c r="F312" s="517"/>
      <c r="G312" s="517"/>
      <c r="H312" s="517"/>
      <c r="I312" s="517"/>
      <c r="J312" s="517"/>
      <c r="K312" s="517"/>
      <c r="L312" s="517"/>
      <c r="M312" s="517"/>
      <c r="N312" s="517"/>
      <c r="O312" s="517"/>
      <c r="P312" s="517"/>
      <c r="Q312" s="517"/>
      <c r="R312" s="517"/>
      <c r="S312" s="517"/>
      <c r="T312" s="517"/>
      <c r="U312" s="517"/>
      <c r="V312" s="517"/>
      <c r="W312" s="517"/>
      <c r="X312" s="517"/>
      <c r="Y312" s="517"/>
      <c r="Z312" s="517"/>
      <c r="AA312" s="517"/>
      <c r="AB312" s="517"/>
      <c r="AC312" s="517"/>
      <c r="AD312" s="517"/>
    </row>
    <row r="313" spans="3:30">
      <c r="C313" s="517"/>
      <c r="D313" s="517"/>
      <c r="E313" s="517"/>
      <c r="F313" s="517"/>
      <c r="G313" s="517"/>
      <c r="H313" s="517"/>
      <c r="I313" s="517"/>
      <c r="J313" s="517"/>
      <c r="K313" s="517"/>
      <c r="L313" s="517"/>
      <c r="M313" s="517"/>
      <c r="N313" s="517"/>
      <c r="O313" s="517"/>
      <c r="P313" s="517"/>
      <c r="Q313" s="517"/>
      <c r="R313" s="517"/>
      <c r="S313" s="517"/>
      <c r="T313" s="517"/>
      <c r="U313" s="517"/>
      <c r="V313" s="517"/>
      <c r="W313" s="517"/>
      <c r="X313" s="517"/>
      <c r="Y313" s="517"/>
      <c r="Z313" s="517"/>
      <c r="AA313" s="517"/>
      <c r="AB313" s="517"/>
      <c r="AC313" s="517"/>
      <c r="AD313" s="517"/>
    </row>
    <row r="314" spans="3:30">
      <c r="C314" s="517"/>
      <c r="D314" s="517"/>
      <c r="E314" s="517"/>
      <c r="F314" s="517"/>
      <c r="G314" s="517"/>
      <c r="H314" s="517"/>
      <c r="I314" s="517"/>
      <c r="J314" s="517"/>
      <c r="K314" s="517"/>
      <c r="L314" s="517"/>
      <c r="M314" s="517"/>
      <c r="N314" s="517"/>
      <c r="O314" s="517"/>
      <c r="P314" s="517"/>
      <c r="Q314" s="517"/>
      <c r="R314" s="517"/>
      <c r="S314" s="517"/>
      <c r="T314" s="517"/>
      <c r="U314" s="517"/>
      <c r="V314" s="517"/>
      <c r="W314" s="517"/>
      <c r="X314" s="517"/>
      <c r="Y314" s="517"/>
      <c r="Z314" s="517"/>
      <c r="AA314" s="517"/>
      <c r="AB314" s="517"/>
      <c r="AC314" s="517"/>
      <c r="AD314" s="517"/>
    </row>
    <row r="315" spans="3:30">
      <c r="C315" s="517"/>
      <c r="D315" s="517"/>
      <c r="E315" s="517"/>
      <c r="F315" s="517"/>
      <c r="G315" s="517"/>
      <c r="H315" s="517"/>
      <c r="I315" s="517"/>
      <c r="J315" s="517"/>
      <c r="K315" s="517"/>
      <c r="L315" s="517"/>
      <c r="M315" s="517"/>
      <c r="N315" s="517"/>
      <c r="O315" s="517"/>
      <c r="P315" s="517"/>
      <c r="Q315" s="517"/>
      <c r="R315" s="517"/>
      <c r="S315" s="517"/>
      <c r="T315" s="517"/>
      <c r="U315" s="517"/>
      <c r="V315" s="517"/>
      <c r="W315" s="517"/>
      <c r="X315" s="517"/>
      <c r="Y315" s="517"/>
      <c r="Z315" s="517"/>
      <c r="AA315" s="517"/>
      <c r="AB315" s="517"/>
      <c r="AC315" s="517"/>
      <c r="AD315" s="517"/>
    </row>
    <row r="316" spans="3:30">
      <c r="C316" s="517"/>
      <c r="D316" s="517"/>
      <c r="E316" s="517"/>
      <c r="F316" s="517"/>
      <c r="G316" s="517"/>
      <c r="H316" s="517"/>
      <c r="I316" s="517"/>
      <c r="J316" s="517"/>
      <c r="K316" s="517"/>
      <c r="L316" s="517"/>
      <c r="M316" s="517"/>
      <c r="N316" s="517"/>
      <c r="O316" s="517"/>
      <c r="P316" s="517"/>
      <c r="Q316" s="517"/>
      <c r="R316" s="517"/>
      <c r="S316" s="517"/>
      <c r="T316" s="517"/>
      <c r="U316" s="517"/>
      <c r="V316" s="517"/>
      <c r="W316" s="517"/>
      <c r="X316" s="517"/>
      <c r="Y316" s="517"/>
      <c r="Z316" s="517"/>
      <c r="AA316" s="517"/>
      <c r="AB316" s="517"/>
      <c r="AC316" s="517"/>
      <c r="AD316" s="517"/>
    </row>
    <row r="317" spans="3:30">
      <c r="C317" s="517"/>
      <c r="D317" s="517"/>
      <c r="E317" s="517"/>
      <c r="F317" s="517"/>
      <c r="G317" s="517"/>
      <c r="H317" s="517"/>
      <c r="I317" s="517"/>
      <c r="J317" s="517"/>
      <c r="K317" s="517"/>
      <c r="L317" s="517"/>
      <c r="M317" s="517"/>
      <c r="N317" s="517"/>
      <c r="O317" s="517"/>
      <c r="P317" s="517"/>
      <c r="Q317" s="517"/>
      <c r="R317" s="517"/>
      <c r="S317" s="517"/>
      <c r="T317" s="517"/>
      <c r="U317" s="517"/>
      <c r="V317" s="517"/>
      <c r="W317" s="517"/>
      <c r="X317" s="517"/>
      <c r="Y317" s="517"/>
      <c r="Z317" s="517"/>
      <c r="AA317" s="517"/>
      <c r="AB317" s="517"/>
      <c r="AC317" s="517"/>
      <c r="AD317" s="517"/>
    </row>
    <row r="318" spans="3:30">
      <c r="C318" s="517"/>
      <c r="D318" s="517"/>
      <c r="E318" s="517"/>
      <c r="F318" s="517"/>
      <c r="G318" s="517"/>
      <c r="H318" s="517"/>
      <c r="I318" s="517"/>
      <c r="J318" s="517"/>
      <c r="K318" s="517"/>
      <c r="L318" s="517"/>
      <c r="M318" s="517"/>
      <c r="N318" s="517"/>
      <c r="O318" s="517"/>
      <c r="P318" s="517"/>
      <c r="Q318" s="517"/>
      <c r="R318" s="517"/>
      <c r="S318" s="517"/>
      <c r="T318" s="517"/>
      <c r="U318" s="517"/>
      <c r="V318" s="517"/>
      <c r="W318" s="517"/>
      <c r="X318" s="517"/>
      <c r="Y318" s="517"/>
      <c r="Z318" s="517"/>
      <c r="AA318" s="517"/>
      <c r="AB318" s="517"/>
      <c r="AC318" s="517"/>
      <c r="AD318" s="517"/>
    </row>
    <row r="319" spans="3:30">
      <c r="C319" s="517"/>
      <c r="D319" s="517"/>
      <c r="E319" s="517"/>
      <c r="F319" s="517"/>
      <c r="G319" s="517"/>
      <c r="H319" s="517"/>
      <c r="I319" s="517"/>
      <c r="J319" s="517"/>
      <c r="K319" s="517"/>
      <c r="L319" s="517"/>
      <c r="M319" s="517"/>
      <c r="N319" s="517"/>
      <c r="O319" s="517"/>
      <c r="P319" s="517"/>
      <c r="Q319" s="517"/>
      <c r="R319" s="517"/>
      <c r="S319" s="517"/>
      <c r="T319" s="517"/>
      <c r="U319" s="517"/>
      <c r="V319" s="517"/>
      <c r="W319" s="517"/>
      <c r="X319" s="517"/>
      <c r="Y319" s="517"/>
      <c r="Z319" s="517"/>
      <c r="AA319" s="517"/>
      <c r="AB319" s="517"/>
      <c r="AC319" s="517"/>
      <c r="AD319" s="517"/>
    </row>
    <row r="320" spans="3:30">
      <c r="C320" s="517"/>
      <c r="D320" s="517"/>
      <c r="E320" s="517"/>
      <c r="F320" s="517"/>
      <c r="G320" s="517"/>
      <c r="H320" s="517"/>
      <c r="I320" s="517"/>
      <c r="J320" s="517"/>
      <c r="K320" s="517"/>
      <c r="L320" s="517"/>
      <c r="M320" s="517"/>
      <c r="N320" s="517"/>
      <c r="O320" s="517"/>
      <c r="P320" s="517"/>
      <c r="Q320" s="517"/>
      <c r="R320" s="517"/>
      <c r="S320" s="517"/>
      <c r="T320" s="517"/>
      <c r="U320" s="517"/>
      <c r="V320" s="517"/>
      <c r="W320" s="517"/>
      <c r="X320" s="517"/>
      <c r="Y320" s="517"/>
      <c r="Z320" s="517"/>
      <c r="AA320" s="517"/>
      <c r="AB320" s="517"/>
      <c r="AC320" s="517"/>
      <c r="AD320" s="517"/>
    </row>
    <row r="321" spans="3:30">
      <c r="C321" s="517"/>
      <c r="D321" s="517"/>
      <c r="E321" s="517"/>
      <c r="F321" s="517"/>
      <c r="G321" s="517"/>
      <c r="H321" s="517"/>
      <c r="I321" s="517"/>
      <c r="J321" s="517"/>
      <c r="K321" s="517"/>
      <c r="L321" s="517"/>
      <c r="M321" s="517"/>
      <c r="N321" s="517"/>
      <c r="O321" s="517"/>
      <c r="P321" s="517"/>
      <c r="Q321" s="517"/>
      <c r="R321" s="517"/>
      <c r="S321" s="517"/>
      <c r="T321" s="517"/>
      <c r="U321" s="517"/>
      <c r="V321" s="517"/>
      <c r="W321" s="517"/>
      <c r="X321" s="517"/>
      <c r="Y321" s="517"/>
      <c r="Z321" s="517"/>
      <c r="AA321" s="517"/>
      <c r="AB321" s="517"/>
      <c r="AC321" s="517"/>
      <c r="AD321" s="517"/>
    </row>
    <row r="322" spans="3:30">
      <c r="C322" s="517"/>
      <c r="D322" s="517"/>
      <c r="E322" s="517"/>
      <c r="F322" s="517"/>
      <c r="G322" s="517"/>
      <c r="H322" s="517"/>
      <c r="I322" s="517"/>
      <c r="J322" s="517"/>
      <c r="K322" s="517"/>
      <c r="L322" s="517"/>
      <c r="M322" s="517"/>
      <c r="N322" s="517"/>
      <c r="O322" s="517"/>
      <c r="P322" s="517"/>
      <c r="Q322" s="517"/>
      <c r="R322" s="517"/>
      <c r="S322" s="517"/>
      <c r="T322" s="517"/>
      <c r="U322" s="517"/>
      <c r="V322" s="517"/>
      <c r="W322" s="517"/>
      <c r="X322" s="517"/>
      <c r="Y322" s="517"/>
      <c r="Z322" s="517"/>
      <c r="AA322" s="517"/>
      <c r="AB322" s="517"/>
      <c r="AC322" s="517"/>
      <c r="AD322" s="517"/>
    </row>
    <row r="323" spans="3:30">
      <c r="C323" s="517"/>
      <c r="D323" s="517"/>
      <c r="E323" s="517"/>
      <c r="F323" s="517"/>
      <c r="G323" s="517"/>
      <c r="H323" s="517"/>
      <c r="I323" s="517"/>
      <c r="J323" s="517"/>
      <c r="K323" s="517"/>
      <c r="L323" s="517"/>
      <c r="M323" s="517"/>
      <c r="N323" s="517"/>
      <c r="O323" s="517"/>
      <c r="P323" s="517"/>
      <c r="Q323" s="517"/>
      <c r="R323" s="517"/>
      <c r="S323" s="517"/>
      <c r="T323" s="517"/>
      <c r="U323" s="517"/>
      <c r="V323" s="517"/>
      <c r="W323" s="517"/>
      <c r="X323" s="517"/>
      <c r="Y323" s="517"/>
      <c r="Z323" s="517"/>
      <c r="AA323" s="517"/>
      <c r="AB323" s="517"/>
      <c r="AC323" s="517"/>
      <c r="AD323" s="517"/>
    </row>
    <row r="324" spans="3:30">
      <c r="C324" s="517"/>
      <c r="D324" s="517"/>
      <c r="E324" s="517"/>
      <c r="F324" s="517"/>
      <c r="G324" s="517"/>
      <c r="H324" s="517"/>
      <c r="I324" s="517"/>
      <c r="J324" s="517"/>
      <c r="K324" s="517"/>
      <c r="L324" s="517"/>
      <c r="M324" s="517"/>
      <c r="N324" s="517"/>
      <c r="O324" s="517"/>
      <c r="P324" s="517"/>
      <c r="Q324" s="517"/>
      <c r="R324" s="517"/>
      <c r="S324" s="517"/>
      <c r="T324" s="517"/>
      <c r="U324" s="517"/>
      <c r="V324" s="517"/>
      <c r="W324" s="517"/>
      <c r="X324" s="517"/>
      <c r="Y324" s="517"/>
      <c r="Z324" s="517"/>
      <c r="AA324" s="517"/>
      <c r="AB324" s="517"/>
      <c r="AC324" s="517"/>
      <c r="AD324" s="517"/>
    </row>
    <row r="325" spans="3:30">
      <c r="C325" s="517"/>
      <c r="D325" s="517"/>
      <c r="E325" s="517"/>
      <c r="F325" s="517"/>
      <c r="G325" s="517"/>
      <c r="H325" s="517"/>
      <c r="I325" s="517"/>
      <c r="J325" s="517"/>
      <c r="K325" s="517"/>
      <c r="L325" s="517"/>
      <c r="M325" s="517"/>
      <c r="N325" s="517"/>
      <c r="O325" s="517"/>
      <c r="P325" s="517"/>
      <c r="Q325" s="517"/>
      <c r="R325" s="517"/>
      <c r="S325" s="517"/>
      <c r="T325" s="517"/>
      <c r="U325" s="517"/>
      <c r="V325" s="517"/>
      <c r="W325" s="517"/>
      <c r="X325" s="517"/>
      <c r="Y325" s="517"/>
      <c r="Z325" s="517"/>
      <c r="AA325" s="517"/>
      <c r="AB325" s="517"/>
      <c r="AC325" s="517"/>
      <c r="AD325" s="517"/>
    </row>
    <row r="326" spans="3:30">
      <c r="C326" s="517"/>
      <c r="D326" s="517"/>
      <c r="E326" s="517"/>
      <c r="F326" s="517"/>
      <c r="G326" s="517"/>
      <c r="H326" s="517"/>
      <c r="I326" s="517"/>
      <c r="J326" s="517"/>
      <c r="K326" s="517"/>
      <c r="L326" s="517"/>
      <c r="M326" s="517"/>
      <c r="N326" s="517"/>
      <c r="O326" s="517"/>
      <c r="P326" s="517"/>
      <c r="Q326" s="517"/>
      <c r="R326" s="517"/>
      <c r="S326" s="517"/>
      <c r="T326" s="517"/>
      <c r="U326" s="517"/>
      <c r="V326" s="517"/>
      <c r="W326" s="517"/>
      <c r="X326" s="517"/>
      <c r="Y326" s="517"/>
      <c r="Z326" s="517"/>
      <c r="AA326" s="517"/>
      <c r="AB326" s="517"/>
      <c r="AC326" s="517"/>
      <c r="AD326" s="517"/>
    </row>
    <row r="327" spans="3:30">
      <c r="C327" s="517"/>
      <c r="D327" s="517"/>
      <c r="E327" s="517"/>
      <c r="F327" s="517"/>
      <c r="G327" s="517"/>
      <c r="H327" s="517"/>
      <c r="I327" s="517"/>
      <c r="J327" s="517"/>
      <c r="K327" s="517"/>
      <c r="L327" s="517"/>
      <c r="M327" s="517"/>
      <c r="N327" s="517"/>
      <c r="O327" s="517"/>
      <c r="P327" s="517"/>
      <c r="Q327" s="517"/>
      <c r="R327" s="517"/>
      <c r="S327" s="517"/>
      <c r="T327" s="517"/>
      <c r="U327" s="517"/>
      <c r="V327" s="517"/>
      <c r="W327" s="517"/>
      <c r="X327" s="517"/>
      <c r="Y327" s="517"/>
      <c r="Z327" s="517"/>
      <c r="AA327" s="517"/>
      <c r="AB327" s="517"/>
      <c r="AC327" s="517"/>
      <c r="AD327" s="517"/>
    </row>
    <row r="328" spans="3:30">
      <c r="C328" s="517"/>
      <c r="D328" s="517"/>
      <c r="E328" s="517"/>
      <c r="F328" s="517"/>
      <c r="G328" s="517"/>
      <c r="H328" s="517"/>
      <c r="I328" s="517"/>
      <c r="J328" s="517"/>
      <c r="K328" s="517"/>
      <c r="L328" s="517"/>
      <c r="M328" s="517"/>
      <c r="N328" s="517"/>
      <c r="O328" s="517"/>
      <c r="P328" s="517"/>
      <c r="Q328" s="517"/>
      <c r="R328" s="517"/>
      <c r="S328" s="517"/>
      <c r="T328" s="517"/>
      <c r="U328" s="517"/>
      <c r="V328" s="517"/>
      <c r="W328" s="517"/>
      <c r="X328" s="517"/>
      <c r="Y328" s="517"/>
      <c r="Z328" s="517"/>
      <c r="AA328" s="517"/>
      <c r="AB328" s="517"/>
      <c r="AC328" s="517"/>
      <c r="AD328" s="517"/>
    </row>
    <row r="329" spans="3:30">
      <c r="C329" s="517"/>
      <c r="D329" s="517"/>
      <c r="E329" s="517"/>
      <c r="F329" s="517"/>
      <c r="G329" s="517"/>
      <c r="H329" s="517"/>
      <c r="I329" s="517"/>
      <c r="J329" s="517"/>
      <c r="K329" s="517"/>
      <c r="L329" s="517"/>
      <c r="M329" s="517"/>
      <c r="N329" s="517"/>
      <c r="O329" s="517"/>
      <c r="P329" s="517"/>
      <c r="Q329" s="517"/>
      <c r="R329" s="517"/>
      <c r="S329" s="517"/>
      <c r="T329" s="517"/>
      <c r="U329" s="517"/>
      <c r="V329" s="517"/>
      <c r="W329" s="517"/>
      <c r="X329" s="517"/>
      <c r="Y329" s="517"/>
      <c r="Z329" s="517"/>
      <c r="AA329" s="517"/>
      <c r="AB329" s="517"/>
      <c r="AC329" s="517"/>
      <c r="AD329" s="517"/>
    </row>
    <row r="330" spans="3:30">
      <c r="C330" s="517"/>
      <c r="D330" s="517"/>
      <c r="E330" s="517"/>
      <c r="F330" s="517"/>
      <c r="G330" s="517"/>
      <c r="H330" s="517"/>
      <c r="I330" s="517"/>
      <c r="J330" s="517"/>
      <c r="K330" s="517"/>
      <c r="L330" s="517"/>
      <c r="M330" s="517"/>
      <c r="N330" s="517"/>
      <c r="O330" s="517"/>
      <c r="P330" s="517"/>
      <c r="Q330" s="517"/>
      <c r="R330" s="517"/>
      <c r="S330" s="517"/>
      <c r="T330" s="517"/>
      <c r="U330" s="517"/>
      <c r="V330" s="517"/>
      <c r="W330" s="517"/>
      <c r="X330" s="517"/>
      <c r="Y330" s="517"/>
      <c r="Z330" s="517"/>
      <c r="AA330" s="517"/>
      <c r="AB330" s="517"/>
      <c r="AC330" s="517"/>
      <c r="AD330" s="517"/>
    </row>
    <row r="331" spans="3:30">
      <c r="C331" s="517"/>
      <c r="D331" s="517"/>
      <c r="E331" s="517"/>
      <c r="F331" s="517"/>
      <c r="G331" s="517"/>
      <c r="H331" s="517"/>
      <c r="I331" s="517"/>
      <c r="J331" s="517"/>
      <c r="K331" s="517"/>
      <c r="L331" s="517"/>
      <c r="M331" s="517"/>
      <c r="N331" s="517"/>
      <c r="O331" s="517"/>
      <c r="P331" s="517"/>
      <c r="Q331" s="517"/>
      <c r="R331" s="517"/>
      <c r="S331" s="517"/>
      <c r="T331" s="517"/>
      <c r="U331" s="517"/>
      <c r="V331" s="517"/>
      <c r="W331" s="517"/>
      <c r="X331" s="517"/>
      <c r="Y331" s="517"/>
      <c r="Z331" s="517"/>
      <c r="AA331" s="517"/>
      <c r="AB331" s="517"/>
      <c r="AC331" s="517"/>
      <c r="AD331" s="517"/>
    </row>
    <row r="332" spans="3:30">
      <c r="C332" s="517"/>
      <c r="D332" s="517"/>
      <c r="E332" s="517"/>
      <c r="F332" s="517"/>
      <c r="G332" s="517"/>
      <c r="H332" s="517"/>
      <c r="I332" s="517"/>
      <c r="J332" s="517"/>
      <c r="K332" s="517"/>
      <c r="L332" s="517"/>
      <c r="M332" s="517"/>
      <c r="N332" s="517"/>
      <c r="O332" s="517"/>
      <c r="P332" s="517"/>
      <c r="Q332" s="517"/>
      <c r="R332" s="517"/>
      <c r="S332" s="517"/>
      <c r="T332" s="517"/>
      <c r="U332" s="517"/>
      <c r="V332" s="517"/>
      <c r="W332" s="517"/>
      <c r="X332" s="517"/>
      <c r="Y332" s="517"/>
      <c r="Z332" s="517"/>
      <c r="AA332" s="517"/>
      <c r="AB332" s="517"/>
      <c r="AC332" s="517"/>
      <c r="AD332" s="517"/>
    </row>
    <row r="333" spans="3:30">
      <c r="C333" s="517"/>
      <c r="D333" s="517"/>
      <c r="E333" s="517"/>
      <c r="F333" s="517"/>
      <c r="G333" s="517"/>
      <c r="H333" s="517"/>
      <c r="I333" s="517"/>
      <c r="J333" s="517"/>
      <c r="K333" s="517"/>
      <c r="L333" s="517"/>
      <c r="M333" s="517"/>
      <c r="N333" s="517"/>
      <c r="O333" s="517"/>
      <c r="P333" s="517"/>
      <c r="Q333" s="517"/>
      <c r="R333" s="517"/>
      <c r="S333" s="517"/>
      <c r="T333" s="517"/>
      <c r="U333" s="517"/>
      <c r="V333" s="517"/>
      <c r="W333" s="517"/>
      <c r="X333" s="517"/>
      <c r="Y333" s="517"/>
      <c r="Z333" s="517"/>
      <c r="AA333" s="517"/>
      <c r="AB333" s="517"/>
      <c r="AC333" s="517"/>
      <c r="AD333" s="517"/>
    </row>
    <row r="334" spans="3:30">
      <c r="C334" s="517"/>
      <c r="D334" s="517"/>
      <c r="E334" s="517"/>
      <c r="F334" s="517"/>
      <c r="G334" s="517"/>
      <c r="H334" s="517"/>
      <c r="I334" s="517"/>
      <c r="J334" s="517"/>
      <c r="K334" s="517"/>
      <c r="L334" s="517"/>
      <c r="M334" s="517"/>
      <c r="N334" s="517"/>
      <c r="O334" s="517"/>
      <c r="P334" s="517"/>
      <c r="Q334" s="517"/>
      <c r="R334" s="517"/>
      <c r="S334" s="517"/>
      <c r="T334" s="517"/>
      <c r="U334" s="517"/>
      <c r="V334" s="517"/>
      <c r="W334" s="517"/>
      <c r="X334" s="517"/>
      <c r="Y334" s="517"/>
      <c r="Z334" s="517"/>
      <c r="AA334" s="517"/>
      <c r="AB334" s="517"/>
      <c r="AC334" s="517"/>
      <c r="AD334" s="517"/>
    </row>
    <row r="335" spans="3:30">
      <c r="C335" s="517"/>
      <c r="D335" s="517"/>
      <c r="E335" s="517"/>
      <c r="F335" s="517"/>
      <c r="G335" s="517"/>
      <c r="H335" s="517"/>
      <c r="I335" s="517"/>
      <c r="J335" s="517"/>
      <c r="K335" s="517"/>
      <c r="L335" s="517"/>
      <c r="M335" s="517"/>
      <c r="N335" s="517"/>
      <c r="O335" s="517"/>
      <c r="P335" s="517"/>
      <c r="Q335" s="517"/>
      <c r="R335" s="517"/>
      <c r="S335" s="517"/>
      <c r="T335" s="517"/>
      <c r="U335" s="517"/>
      <c r="V335" s="517"/>
      <c r="W335" s="517"/>
      <c r="X335" s="517"/>
      <c r="Y335" s="517"/>
      <c r="Z335" s="517"/>
      <c r="AA335" s="517"/>
      <c r="AB335" s="517"/>
      <c r="AC335" s="517"/>
      <c r="AD335" s="517"/>
    </row>
    <row r="336" spans="3:30">
      <c r="C336" s="517"/>
      <c r="D336" s="517"/>
      <c r="E336" s="517"/>
      <c r="F336" s="517"/>
      <c r="G336" s="517"/>
      <c r="H336" s="517"/>
      <c r="I336" s="517"/>
      <c r="J336" s="517"/>
      <c r="K336" s="517"/>
      <c r="L336" s="517"/>
      <c r="M336" s="517"/>
      <c r="N336" s="517"/>
      <c r="O336" s="517"/>
      <c r="P336" s="517"/>
      <c r="Q336" s="517"/>
      <c r="R336" s="517"/>
      <c r="S336" s="517"/>
      <c r="T336" s="517"/>
      <c r="U336" s="517"/>
      <c r="V336" s="517"/>
      <c r="W336" s="517"/>
      <c r="X336" s="517"/>
      <c r="Y336" s="517"/>
      <c r="Z336" s="517"/>
      <c r="AA336" s="517"/>
      <c r="AB336" s="517"/>
      <c r="AC336" s="517"/>
      <c r="AD336" s="517"/>
    </row>
    <row r="337" spans="3:30">
      <c r="C337" s="517"/>
      <c r="D337" s="517"/>
      <c r="E337" s="517"/>
      <c r="F337" s="517"/>
      <c r="G337" s="517"/>
      <c r="H337" s="517"/>
      <c r="I337" s="517"/>
      <c r="J337" s="517"/>
      <c r="K337" s="517"/>
      <c r="L337" s="517"/>
      <c r="M337" s="517"/>
      <c r="N337" s="517"/>
      <c r="O337" s="517"/>
      <c r="P337" s="517"/>
      <c r="Q337" s="517"/>
      <c r="R337" s="517"/>
      <c r="S337" s="517"/>
      <c r="T337" s="517"/>
      <c r="U337" s="517"/>
      <c r="V337" s="517"/>
      <c r="W337" s="517"/>
      <c r="X337" s="517"/>
      <c r="Y337" s="517"/>
      <c r="Z337" s="517"/>
      <c r="AA337" s="517"/>
      <c r="AB337" s="517"/>
      <c r="AC337" s="517"/>
      <c r="AD337" s="517"/>
    </row>
    <row r="338" spans="3:30">
      <c r="C338" s="517"/>
      <c r="D338" s="517"/>
      <c r="E338" s="517"/>
      <c r="F338" s="517"/>
      <c r="G338" s="517"/>
      <c r="H338" s="517"/>
      <c r="I338" s="517"/>
      <c r="J338" s="517"/>
      <c r="K338" s="517"/>
      <c r="L338" s="517"/>
      <c r="M338" s="517"/>
      <c r="N338" s="517"/>
      <c r="O338" s="517"/>
      <c r="P338" s="517"/>
      <c r="Q338" s="517"/>
      <c r="R338" s="517"/>
      <c r="S338" s="517"/>
      <c r="T338" s="517"/>
      <c r="U338" s="517"/>
      <c r="V338" s="517"/>
      <c r="W338" s="517"/>
      <c r="X338" s="517"/>
      <c r="Y338" s="517"/>
      <c r="Z338" s="517"/>
      <c r="AA338" s="517"/>
      <c r="AB338" s="517"/>
      <c r="AC338" s="517"/>
      <c r="AD338" s="517"/>
    </row>
    <row r="339" spans="3:30">
      <c r="C339" s="517"/>
      <c r="D339" s="517"/>
      <c r="E339" s="517"/>
      <c r="F339" s="517"/>
      <c r="G339" s="517"/>
      <c r="H339" s="517"/>
      <c r="I339" s="517"/>
      <c r="J339" s="517"/>
      <c r="K339" s="517"/>
      <c r="L339" s="517"/>
      <c r="M339" s="517"/>
      <c r="N339" s="517"/>
      <c r="O339" s="517"/>
      <c r="P339" s="517"/>
      <c r="Q339" s="517"/>
      <c r="R339" s="517"/>
      <c r="S339" s="517"/>
      <c r="T339" s="517"/>
      <c r="U339" s="517"/>
      <c r="V339" s="517"/>
      <c r="W339" s="517"/>
      <c r="X339" s="517"/>
      <c r="Y339" s="517"/>
      <c r="Z339" s="517"/>
      <c r="AA339" s="517"/>
      <c r="AB339" s="517"/>
      <c r="AC339" s="517"/>
      <c r="AD339" s="517"/>
    </row>
    <row r="340" spans="3:30">
      <c r="C340" s="517"/>
      <c r="D340" s="517"/>
      <c r="E340" s="517"/>
      <c r="F340" s="517"/>
      <c r="G340" s="517"/>
      <c r="H340" s="517"/>
      <c r="I340" s="517"/>
      <c r="J340" s="517"/>
      <c r="K340" s="517"/>
      <c r="L340" s="517"/>
      <c r="M340" s="517"/>
      <c r="N340" s="517"/>
      <c r="O340" s="517"/>
      <c r="P340" s="517"/>
      <c r="Q340" s="517"/>
      <c r="R340" s="517"/>
      <c r="S340" s="517"/>
      <c r="T340" s="517"/>
      <c r="U340" s="517"/>
      <c r="V340" s="517"/>
      <c r="W340" s="517"/>
      <c r="X340" s="517"/>
      <c r="Y340" s="517"/>
      <c r="Z340" s="517"/>
      <c r="AA340" s="517"/>
      <c r="AB340" s="517"/>
      <c r="AC340" s="517"/>
      <c r="AD340" s="517"/>
    </row>
    <row r="341" spans="3:30">
      <c r="C341" s="517"/>
      <c r="D341" s="517"/>
      <c r="E341" s="517"/>
      <c r="F341" s="517"/>
      <c r="G341" s="517"/>
      <c r="H341" s="517"/>
      <c r="I341" s="517"/>
      <c r="J341" s="517"/>
      <c r="K341" s="517"/>
      <c r="L341" s="517"/>
      <c r="M341" s="517"/>
      <c r="N341" s="517"/>
      <c r="O341" s="517"/>
      <c r="P341" s="517"/>
      <c r="Q341" s="517"/>
      <c r="R341" s="517"/>
      <c r="S341" s="517"/>
      <c r="T341" s="517"/>
      <c r="U341" s="517"/>
      <c r="V341" s="517"/>
      <c r="W341" s="517"/>
      <c r="X341" s="517"/>
      <c r="Y341" s="517"/>
      <c r="Z341" s="517"/>
      <c r="AA341" s="517"/>
      <c r="AB341" s="517"/>
      <c r="AC341" s="517"/>
      <c r="AD341" s="517"/>
    </row>
    <row r="342" spans="3:30">
      <c r="C342" s="517"/>
      <c r="D342" s="517"/>
      <c r="E342" s="517"/>
      <c r="F342" s="517"/>
      <c r="G342" s="517"/>
      <c r="H342" s="517"/>
      <c r="I342" s="517"/>
      <c r="J342" s="517"/>
      <c r="K342" s="517"/>
      <c r="L342" s="517"/>
      <c r="M342" s="517"/>
      <c r="N342" s="517"/>
      <c r="O342" s="517"/>
      <c r="P342" s="517"/>
      <c r="Q342" s="517"/>
      <c r="R342" s="517"/>
      <c r="S342" s="517"/>
      <c r="T342" s="517"/>
      <c r="U342" s="517"/>
      <c r="V342" s="517"/>
      <c r="W342" s="517"/>
      <c r="X342" s="517"/>
      <c r="Y342" s="517"/>
      <c r="Z342" s="517"/>
      <c r="AA342" s="517"/>
      <c r="AB342" s="517"/>
      <c r="AC342" s="517"/>
      <c r="AD342" s="517"/>
    </row>
    <row r="343" spans="3:30">
      <c r="C343" s="517"/>
      <c r="D343" s="517"/>
      <c r="E343" s="517"/>
      <c r="F343" s="517"/>
      <c r="G343" s="517"/>
      <c r="H343" s="517"/>
      <c r="I343" s="517"/>
      <c r="J343" s="517"/>
      <c r="K343" s="517"/>
      <c r="L343" s="517"/>
      <c r="M343" s="517"/>
      <c r="N343" s="517"/>
      <c r="O343" s="517"/>
      <c r="P343" s="517"/>
      <c r="Q343" s="517"/>
      <c r="R343" s="517"/>
      <c r="S343" s="517"/>
      <c r="T343" s="517"/>
      <c r="U343" s="517"/>
      <c r="V343" s="517"/>
      <c r="W343" s="517"/>
      <c r="X343" s="517"/>
      <c r="Y343" s="517"/>
      <c r="Z343" s="517"/>
      <c r="AA343" s="517"/>
      <c r="AB343" s="517"/>
      <c r="AC343" s="517"/>
      <c r="AD343" s="517"/>
    </row>
    <row r="344" spans="3:30">
      <c r="C344" s="517"/>
      <c r="D344" s="517"/>
      <c r="E344" s="517"/>
      <c r="F344" s="517"/>
      <c r="G344" s="517"/>
      <c r="H344" s="517"/>
      <c r="I344" s="517"/>
      <c r="J344" s="517"/>
      <c r="K344" s="517"/>
      <c r="L344" s="517"/>
      <c r="M344" s="517"/>
      <c r="N344" s="517"/>
      <c r="O344" s="517"/>
      <c r="P344" s="517"/>
      <c r="Q344" s="517"/>
      <c r="R344" s="517"/>
      <c r="S344" s="517"/>
      <c r="T344" s="517"/>
      <c r="U344" s="517"/>
      <c r="V344" s="517"/>
      <c r="W344" s="517"/>
      <c r="X344" s="517"/>
      <c r="Y344" s="517"/>
      <c r="Z344" s="517"/>
      <c r="AA344" s="517"/>
      <c r="AB344" s="517"/>
      <c r="AC344" s="517"/>
      <c r="AD344" s="517"/>
    </row>
    <row r="345" spans="3:30">
      <c r="C345" s="517"/>
      <c r="D345" s="517"/>
      <c r="E345" s="517"/>
      <c r="F345" s="517"/>
      <c r="G345" s="517"/>
      <c r="H345" s="517"/>
      <c r="I345" s="517"/>
      <c r="J345" s="517"/>
      <c r="K345" s="517"/>
      <c r="L345" s="517"/>
      <c r="M345" s="517"/>
      <c r="N345" s="517"/>
      <c r="O345" s="517"/>
      <c r="P345" s="517"/>
      <c r="Q345" s="517"/>
      <c r="R345" s="517"/>
      <c r="S345" s="517"/>
      <c r="T345" s="517"/>
      <c r="U345" s="517"/>
      <c r="V345" s="517"/>
      <c r="W345" s="517"/>
      <c r="X345" s="517"/>
      <c r="Y345" s="517"/>
      <c r="Z345" s="517"/>
      <c r="AA345" s="517"/>
      <c r="AB345" s="517"/>
      <c r="AC345" s="517"/>
      <c r="AD345" s="517"/>
    </row>
    <row r="346" spans="3:30">
      <c r="C346" s="517"/>
      <c r="D346" s="517"/>
      <c r="E346" s="517"/>
      <c r="F346" s="517"/>
      <c r="G346" s="517"/>
      <c r="H346" s="517"/>
      <c r="I346" s="517"/>
      <c r="J346" s="517"/>
      <c r="K346" s="517"/>
      <c r="L346" s="517"/>
      <c r="M346" s="517"/>
      <c r="N346" s="517"/>
      <c r="O346" s="517"/>
      <c r="P346" s="517"/>
      <c r="Q346" s="517"/>
      <c r="R346" s="517"/>
      <c r="S346" s="517"/>
      <c r="T346" s="517"/>
      <c r="U346" s="517"/>
      <c r="V346" s="517"/>
      <c r="W346" s="517"/>
      <c r="X346" s="517"/>
      <c r="Y346" s="517"/>
      <c r="Z346" s="517"/>
      <c r="AA346" s="517"/>
      <c r="AB346" s="517"/>
      <c r="AC346" s="517"/>
      <c r="AD346" s="517"/>
    </row>
    <row r="347" spans="3:30">
      <c r="C347" s="517"/>
      <c r="D347" s="517"/>
      <c r="E347" s="517"/>
      <c r="F347" s="517"/>
      <c r="G347" s="517"/>
      <c r="H347" s="517"/>
      <c r="I347" s="517"/>
      <c r="J347" s="517"/>
      <c r="K347" s="517"/>
      <c r="L347" s="517"/>
      <c r="M347" s="517"/>
      <c r="N347" s="517"/>
      <c r="O347" s="517"/>
      <c r="P347" s="517"/>
      <c r="Q347" s="517"/>
      <c r="R347" s="517"/>
      <c r="S347" s="517"/>
      <c r="T347" s="517"/>
      <c r="U347" s="517"/>
      <c r="V347" s="517"/>
      <c r="W347" s="517"/>
      <c r="X347" s="517"/>
      <c r="Y347" s="517"/>
      <c r="Z347" s="517"/>
      <c r="AA347" s="517"/>
      <c r="AB347" s="517"/>
      <c r="AC347" s="517"/>
      <c r="AD347" s="517"/>
    </row>
    <row r="348" spans="3:30">
      <c r="C348" s="517"/>
      <c r="D348" s="517"/>
      <c r="E348" s="517"/>
      <c r="F348" s="517"/>
      <c r="G348" s="517"/>
      <c r="H348" s="517"/>
      <c r="I348" s="517"/>
      <c r="J348" s="517"/>
      <c r="K348" s="517"/>
      <c r="L348" s="517"/>
      <c r="M348" s="517"/>
      <c r="N348" s="517"/>
      <c r="O348" s="517"/>
      <c r="P348" s="517"/>
      <c r="Q348" s="517"/>
      <c r="R348" s="517"/>
      <c r="S348" s="517"/>
      <c r="T348" s="517"/>
      <c r="U348" s="517"/>
      <c r="V348" s="517"/>
      <c r="W348" s="517"/>
      <c r="X348" s="517"/>
      <c r="Y348" s="517"/>
      <c r="Z348" s="517"/>
      <c r="AA348" s="517"/>
      <c r="AB348" s="517"/>
      <c r="AC348" s="517"/>
      <c r="AD348" s="517"/>
    </row>
    <row r="349" spans="3:30">
      <c r="C349" s="517"/>
      <c r="D349" s="517"/>
      <c r="E349" s="517"/>
      <c r="F349" s="517"/>
      <c r="G349" s="517"/>
      <c r="H349" s="517"/>
      <c r="I349" s="517"/>
      <c r="J349" s="517"/>
      <c r="K349" s="517"/>
      <c r="L349" s="517"/>
      <c r="M349" s="517"/>
      <c r="N349" s="517"/>
      <c r="O349" s="517"/>
      <c r="P349" s="517"/>
      <c r="Q349" s="517"/>
      <c r="R349" s="517"/>
      <c r="S349" s="517"/>
      <c r="T349" s="517"/>
      <c r="U349" s="517"/>
      <c r="V349" s="517"/>
      <c r="W349" s="517"/>
      <c r="X349" s="517"/>
      <c r="Y349" s="517"/>
      <c r="Z349" s="517"/>
      <c r="AA349" s="517"/>
      <c r="AB349" s="517"/>
      <c r="AC349" s="517"/>
      <c r="AD349" s="517"/>
    </row>
    <row r="350" spans="3:30">
      <c r="C350" s="517"/>
      <c r="D350" s="517"/>
      <c r="E350" s="517"/>
      <c r="F350" s="517"/>
      <c r="G350" s="517"/>
      <c r="H350" s="517"/>
      <c r="I350" s="517"/>
      <c r="J350" s="517"/>
      <c r="K350" s="517"/>
      <c r="L350" s="517"/>
      <c r="M350" s="517"/>
      <c r="N350" s="517"/>
      <c r="O350" s="517"/>
      <c r="P350" s="517"/>
      <c r="Q350" s="517"/>
      <c r="R350" s="517"/>
      <c r="S350" s="517"/>
      <c r="T350" s="517"/>
      <c r="U350" s="517"/>
      <c r="V350" s="517"/>
      <c r="W350" s="517"/>
      <c r="X350" s="517"/>
      <c r="Y350" s="517"/>
      <c r="Z350" s="517"/>
      <c r="AA350" s="517"/>
      <c r="AB350" s="517"/>
      <c r="AC350" s="517"/>
      <c r="AD350" s="517"/>
    </row>
    <row r="351" spans="3:30">
      <c r="C351" s="517"/>
      <c r="D351" s="517"/>
      <c r="E351" s="517"/>
      <c r="F351" s="517"/>
      <c r="G351" s="517"/>
      <c r="H351" s="517"/>
      <c r="I351" s="517"/>
      <c r="J351" s="517"/>
      <c r="K351" s="517"/>
      <c r="L351" s="517"/>
      <c r="M351" s="517"/>
      <c r="N351" s="517"/>
      <c r="O351" s="517"/>
      <c r="P351" s="517"/>
      <c r="Q351" s="517"/>
      <c r="R351" s="517"/>
      <c r="S351" s="517"/>
      <c r="T351" s="517"/>
      <c r="U351" s="517"/>
      <c r="V351" s="517"/>
      <c r="W351" s="517"/>
      <c r="X351" s="517"/>
      <c r="Y351" s="517"/>
      <c r="Z351" s="517"/>
      <c r="AA351" s="517"/>
      <c r="AB351" s="517"/>
      <c r="AC351" s="517"/>
      <c r="AD351" s="517"/>
    </row>
    <row r="352" spans="3:30">
      <c r="C352" s="517"/>
      <c r="D352" s="517"/>
      <c r="E352" s="517"/>
      <c r="F352" s="517"/>
      <c r="G352" s="517"/>
      <c r="H352" s="517"/>
      <c r="I352" s="517"/>
      <c r="J352" s="517"/>
      <c r="K352" s="517"/>
      <c r="L352" s="517"/>
      <c r="M352" s="517"/>
      <c r="N352" s="517"/>
      <c r="O352" s="517"/>
      <c r="P352" s="517"/>
      <c r="Q352" s="517"/>
      <c r="R352" s="517"/>
      <c r="S352" s="517"/>
      <c r="T352" s="517"/>
      <c r="U352" s="517"/>
      <c r="V352" s="517"/>
      <c r="W352" s="517"/>
      <c r="X352" s="517"/>
      <c r="Y352" s="517"/>
      <c r="Z352" s="517"/>
      <c r="AA352" s="517"/>
      <c r="AB352" s="517"/>
      <c r="AC352" s="517"/>
      <c r="AD352" s="517"/>
    </row>
    <row r="353" spans="3:30">
      <c r="C353" s="517"/>
      <c r="D353" s="517"/>
      <c r="E353" s="517"/>
      <c r="F353" s="517"/>
      <c r="G353" s="517"/>
      <c r="H353" s="517"/>
      <c r="I353" s="517"/>
      <c r="J353" s="517"/>
      <c r="K353" s="517"/>
      <c r="L353" s="517"/>
      <c r="M353" s="517"/>
      <c r="N353" s="517"/>
      <c r="O353" s="517"/>
      <c r="P353" s="517"/>
      <c r="Q353" s="517"/>
      <c r="R353" s="517"/>
      <c r="S353" s="517"/>
      <c r="T353" s="517"/>
      <c r="U353" s="517"/>
      <c r="V353" s="517"/>
      <c r="W353" s="517"/>
      <c r="X353" s="517"/>
      <c r="Y353" s="517"/>
      <c r="Z353" s="517"/>
      <c r="AA353" s="517"/>
      <c r="AB353" s="517"/>
      <c r="AC353" s="517"/>
      <c r="AD353" s="517"/>
    </row>
    <row r="354" spans="3:30">
      <c r="C354" s="517"/>
      <c r="D354" s="517"/>
      <c r="E354" s="517"/>
      <c r="F354" s="517"/>
      <c r="G354" s="517"/>
      <c r="H354" s="517"/>
      <c r="I354" s="517"/>
      <c r="J354" s="517"/>
      <c r="K354" s="517"/>
      <c r="L354" s="517"/>
      <c r="M354" s="517"/>
      <c r="N354" s="517"/>
      <c r="O354" s="517"/>
      <c r="P354" s="517"/>
      <c r="Q354" s="517"/>
      <c r="R354" s="517"/>
      <c r="S354" s="517"/>
      <c r="T354" s="517"/>
      <c r="U354" s="517"/>
      <c r="V354" s="517"/>
      <c r="W354" s="517"/>
      <c r="X354" s="517"/>
      <c r="Y354" s="517"/>
      <c r="Z354" s="517"/>
      <c r="AA354" s="517"/>
      <c r="AB354" s="517"/>
      <c r="AC354" s="517"/>
      <c r="AD354" s="517"/>
    </row>
    <row r="355" spans="3:30">
      <c r="C355" s="517"/>
      <c r="D355" s="517"/>
      <c r="E355" s="517"/>
      <c r="F355" s="517"/>
      <c r="G355" s="517"/>
      <c r="H355" s="517"/>
      <c r="I355" s="517"/>
      <c r="J355" s="517"/>
      <c r="K355" s="517"/>
      <c r="L355" s="517"/>
      <c r="M355" s="517"/>
      <c r="N355" s="517"/>
      <c r="O355" s="517"/>
      <c r="P355" s="517"/>
      <c r="Q355" s="517"/>
      <c r="R355" s="517"/>
      <c r="S355" s="517"/>
      <c r="T355" s="517"/>
      <c r="U355" s="517"/>
      <c r="V355" s="517"/>
      <c r="W355" s="517"/>
      <c r="X355" s="517"/>
      <c r="Y355" s="517"/>
      <c r="Z355" s="517"/>
      <c r="AA355" s="517"/>
      <c r="AB355" s="517"/>
      <c r="AC355" s="517"/>
      <c r="AD355" s="517"/>
    </row>
    <row r="356" spans="3:30">
      <c r="C356" s="517"/>
      <c r="D356" s="517"/>
      <c r="E356" s="517"/>
      <c r="F356" s="517"/>
      <c r="G356" s="517"/>
      <c r="H356" s="517"/>
      <c r="I356" s="517"/>
      <c r="J356" s="517"/>
      <c r="K356" s="517"/>
      <c r="L356" s="517"/>
      <c r="M356" s="517"/>
      <c r="N356" s="517"/>
      <c r="O356" s="517"/>
      <c r="P356" s="517"/>
      <c r="Q356" s="517"/>
      <c r="R356" s="517"/>
      <c r="S356" s="517"/>
      <c r="T356" s="517"/>
      <c r="U356" s="517"/>
      <c r="V356" s="517"/>
      <c r="W356" s="517"/>
      <c r="X356" s="517"/>
      <c r="Y356" s="517"/>
      <c r="Z356" s="517"/>
      <c r="AA356" s="517"/>
      <c r="AB356" s="517"/>
      <c r="AC356" s="517"/>
      <c r="AD356" s="517"/>
    </row>
    <row r="357" spans="3:30">
      <c r="C357" s="517"/>
      <c r="D357" s="517"/>
      <c r="E357" s="517"/>
      <c r="F357" s="517"/>
      <c r="G357" s="517"/>
      <c r="H357" s="517"/>
      <c r="I357" s="517"/>
      <c r="J357" s="517"/>
      <c r="K357" s="517"/>
      <c r="L357" s="517"/>
      <c r="M357" s="517"/>
      <c r="N357" s="517"/>
      <c r="O357" s="517"/>
      <c r="P357" s="517"/>
      <c r="Q357" s="517"/>
      <c r="R357" s="517"/>
      <c r="S357" s="517"/>
      <c r="T357" s="517"/>
      <c r="U357" s="517"/>
      <c r="V357" s="517"/>
      <c r="W357" s="517"/>
      <c r="X357" s="517"/>
      <c r="Y357" s="517"/>
      <c r="Z357" s="517"/>
      <c r="AA357" s="517"/>
      <c r="AB357" s="517"/>
      <c r="AC357" s="517"/>
      <c r="AD357" s="517"/>
    </row>
    <row r="358" spans="3:30">
      <c r="C358" s="517"/>
      <c r="D358" s="517"/>
      <c r="E358" s="517"/>
      <c r="F358" s="517"/>
      <c r="G358" s="517"/>
      <c r="H358" s="517"/>
      <c r="I358" s="517"/>
      <c r="J358" s="517"/>
      <c r="K358" s="517"/>
      <c r="L358" s="517"/>
      <c r="M358" s="517"/>
      <c r="N358" s="517"/>
      <c r="O358" s="517"/>
      <c r="P358" s="517"/>
      <c r="Q358" s="517"/>
      <c r="R358" s="517"/>
      <c r="S358" s="517"/>
      <c r="T358" s="517"/>
      <c r="U358" s="517"/>
      <c r="V358" s="517"/>
      <c r="W358" s="517"/>
      <c r="X358" s="517"/>
      <c r="Y358" s="517"/>
      <c r="Z358" s="517"/>
      <c r="AA358" s="517"/>
      <c r="AB358" s="517"/>
      <c r="AC358" s="517"/>
      <c r="AD358" s="517"/>
    </row>
    <row r="359" spans="3:30">
      <c r="C359" s="517"/>
      <c r="D359" s="517"/>
      <c r="E359" s="517"/>
      <c r="F359" s="517"/>
      <c r="G359" s="517"/>
      <c r="H359" s="517"/>
      <c r="I359" s="517"/>
      <c r="J359" s="517"/>
      <c r="K359" s="517"/>
      <c r="L359" s="517"/>
      <c r="M359" s="517"/>
      <c r="N359" s="517"/>
      <c r="O359" s="517"/>
      <c r="P359" s="517"/>
      <c r="Q359" s="517"/>
      <c r="R359" s="517"/>
      <c r="S359" s="517"/>
      <c r="T359" s="517"/>
      <c r="U359" s="517"/>
      <c r="V359" s="517"/>
      <c r="W359" s="517"/>
      <c r="X359" s="517"/>
      <c r="Y359" s="517"/>
      <c r="Z359" s="517"/>
      <c r="AA359" s="517"/>
      <c r="AB359" s="517"/>
      <c r="AC359" s="517"/>
      <c r="AD359" s="517"/>
    </row>
    <row r="360" spans="3:30">
      <c r="C360" s="517"/>
      <c r="D360" s="517"/>
      <c r="E360" s="517"/>
      <c r="F360" s="517"/>
      <c r="G360" s="517"/>
      <c r="H360" s="517"/>
      <c r="I360" s="517"/>
      <c r="J360" s="517"/>
      <c r="K360" s="517"/>
      <c r="L360" s="517"/>
      <c r="M360" s="517"/>
      <c r="N360" s="517"/>
      <c r="O360" s="517"/>
      <c r="P360" s="517"/>
      <c r="Q360" s="517"/>
      <c r="R360" s="517"/>
      <c r="S360" s="517"/>
      <c r="T360" s="517"/>
      <c r="U360" s="517"/>
      <c r="V360" s="517"/>
      <c r="W360" s="517"/>
      <c r="X360" s="517"/>
      <c r="Y360" s="517"/>
      <c r="Z360" s="517"/>
      <c r="AA360" s="517"/>
      <c r="AB360" s="517"/>
      <c r="AC360" s="517"/>
      <c r="AD360" s="517"/>
    </row>
    <row r="361" spans="3:30">
      <c r="C361" s="517"/>
      <c r="D361" s="517"/>
      <c r="E361" s="517"/>
      <c r="F361" s="517"/>
      <c r="G361" s="517"/>
      <c r="H361" s="517"/>
      <c r="I361" s="517"/>
      <c r="J361" s="517"/>
      <c r="K361" s="517"/>
      <c r="L361" s="517"/>
      <c r="M361" s="517"/>
      <c r="N361" s="517"/>
      <c r="O361" s="517"/>
      <c r="P361" s="517"/>
      <c r="Q361" s="517"/>
      <c r="R361" s="517"/>
      <c r="S361" s="517"/>
      <c r="T361" s="517"/>
      <c r="U361" s="517"/>
      <c r="V361" s="517"/>
      <c r="W361" s="517"/>
      <c r="X361" s="517"/>
      <c r="Y361" s="517"/>
      <c r="Z361" s="517"/>
      <c r="AA361" s="517"/>
      <c r="AB361" s="517"/>
      <c r="AC361" s="517"/>
      <c r="AD361" s="517"/>
    </row>
    <row r="362" spans="3:30">
      <c r="C362" s="517"/>
      <c r="D362" s="517"/>
      <c r="E362" s="517"/>
      <c r="F362" s="517"/>
      <c r="G362" s="517"/>
      <c r="H362" s="517"/>
      <c r="I362" s="517"/>
      <c r="J362" s="517"/>
      <c r="K362" s="517"/>
      <c r="L362" s="517"/>
      <c r="M362" s="517"/>
      <c r="N362" s="517"/>
      <c r="O362" s="517"/>
      <c r="P362" s="517"/>
      <c r="Q362" s="517"/>
      <c r="R362" s="517"/>
      <c r="S362" s="517"/>
      <c r="T362" s="517"/>
      <c r="U362" s="517"/>
      <c r="V362" s="517"/>
      <c r="W362" s="517"/>
      <c r="X362" s="517"/>
      <c r="Y362" s="517"/>
      <c r="Z362" s="517"/>
      <c r="AA362" s="517"/>
      <c r="AB362" s="517"/>
      <c r="AC362" s="517"/>
      <c r="AD362" s="517"/>
    </row>
    <row r="363" spans="3:30">
      <c r="C363" s="517"/>
      <c r="D363" s="517"/>
      <c r="E363" s="517"/>
      <c r="F363" s="517"/>
      <c r="G363" s="517"/>
      <c r="H363" s="517"/>
      <c r="I363" s="517"/>
      <c r="J363" s="517"/>
      <c r="K363" s="517"/>
      <c r="L363" s="517"/>
      <c r="M363" s="517"/>
      <c r="N363" s="517"/>
      <c r="O363" s="517"/>
      <c r="P363" s="517"/>
      <c r="Q363" s="517"/>
      <c r="R363" s="517"/>
      <c r="S363" s="517"/>
      <c r="T363" s="517"/>
      <c r="U363" s="517"/>
      <c r="V363" s="517"/>
      <c r="W363" s="517"/>
      <c r="X363" s="517"/>
      <c r="Y363" s="517"/>
      <c r="Z363" s="517"/>
      <c r="AA363" s="517"/>
      <c r="AB363" s="517"/>
      <c r="AC363" s="517"/>
      <c r="AD363" s="517"/>
    </row>
    <row r="364" spans="3:30">
      <c r="C364" s="517"/>
      <c r="D364" s="517"/>
      <c r="E364" s="517"/>
      <c r="F364" s="517"/>
      <c r="G364" s="517"/>
      <c r="H364" s="517"/>
      <c r="I364" s="517"/>
      <c r="J364" s="517"/>
      <c r="K364" s="517"/>
      <c r="L364" s="517"/>
      <c r="M364" s="517"/>
      <c r="N364" s="517"/>
      <c r="O364" s="517"/>
      <c r="P364" s="517"/>
      <c r="Q364" s="517"/>
      <c r="R364" s="517"/>
      <c r="S364" s="517"/>
      <c r="T364" s="517"/>
      <c r="U364" s="517"/>
      <c r="V364" s="517"/>
      <c r="W364" s="517"/>
      <c r="X364" s="517"/>
      <c r="Y364" s="517"/>
      <c r="Z364" s="517"/>
      <c r="AA364" s="517"/>
      <c r="AB364" s="517"/>
      <c r="AC364" s="517"/>
      <c r="AD364" s="517"/>
    </row>
    <row r="365" spans="3:30">
      <c r="C365" s="517"/>
      <c r="D365" s="517"/>
      <c r="E365" s="517"/>
      <c r="F365" s="517"/>
      <c r="G365" s="517"/>
      <c r="H365" s="517"/>
      <c r="I365" s="517"/>
      <c r="J365" s="517"/>
      <c r="K365" s="517"/>
      <c r="L365" s="517"/>
      <c r="M365" s="517"/>
      <c r="N365" s="517"/>
      <c r="O365" s="517"/>
      <c r="P365" s="517"/>
      <c r="Q365" s="517"/>
      <c r="R365" s="517"/>
      <c r="S365" s="517"/>
      <c r="T365" s="517"/>
      <c r="U365" s="517"/>
      <c r="V365" s="517"/>
      <c r="W365" s="517"/>
      <c r="X365" s="517"/>
      <c r="Y365" s="517"/>
      <c r="Z365" s="517"/>
      <c r="AA365" s="517"/>
      <c r="AB365" s="517"/>
      <c r="AC365" s="517"/>
      <c r="AD365" s="517"/>
    </row>
    <row r="366" spans="3:30">
      <c r="C366" s="517"/>
      <c r="D366" s="517"/>
      <c r="E366" s="517"/>
      <c r="F366" s="517"/>
      <c r="G366" s="517"/>
      <c r="H366" s="517"/>
      <c r="I366" s="517"/>
      <c r="J366" s="517"/>
      <c r="K366" s="517"/>
      <c r="L366" s="517"/>
      <c r="M366" s="517"/>
      <c r="N366" s="517"/>
      <c r="O366" s="517"/>
      <c r="P366" s="517"/>
      <c r="Q366" s="517"/>
      <c r="R366" s="517"/>
      <c r="S366" s="517"/>
      <c r="T366" s="517"/>
      <c r="U366" s="517"/>
      <c r="V366" s="517"/>
      <c r="W366" s="517"/>
      <c r="X366" s="517"/>
      <c r="Y366" s="517"/>
      <c r="Z366" s="517"/>
      <c r="AA366" s="517"/>
      <c r="AB366" s="517"/>
      <c r="AC366" s="517"/>
      <c r="AD366" s="517"/>
    </row>
    <row r="367" spans="3:30">
      <c r="C367" s="517"/>
      <c r="D367" s="517"/>
      <c r="E367" s="517"/>
      <c r="F367" s="517"/>
      <c r="G367" s="517"/>
      <c r="H367" s="517"/>
      <c r="I367" s="517"/>
      <c r="J367" s="517"/>
      <c r="K367" s="517"/>
      <c r="L367" s="517"/>
      <c r="M367" s="517"/>
      <c r="N367" s="517"/>
      <c r="O367" s="517"/>
      <c r="P367" s="517"/>
      <c r="Q367" s="517"/>
      <c r="R367" s="517"/>
      <c r="S367" s="517"/>
      <c r="T367" s="517"/>
      <c r="U367" s="517"/>
      <c r="V367" s="517"/>
      <c r="W367" s="517"/>
      <c r="X367" s="517"/>
      <c r="Y367" s="517"/>
      <c r="Z367" s="517"/>
      <c r="AA367" s="517"/>
      <c r="AB367" s="517"/>
      <c r="AC367" s="517"/>
      <c r="AD367" s="517"/>
    </row>
    <row r="368" spans="3:30">
      <c r="C368" s="517"/>
      <c r="D368" s="517"/>
      <c r="E368" s="517"/>
      <c r="F368" s="517"/>
      <c r="G368" s="517"/>
      <c r="H368" s="517"/>
      <c r="I368" s="517"/>
      <c r="J368" s="517"/>
      <c r="K368" s="517"/>
      <c r="L368" s="517"/>
      <c r="M368" s="517"/>
      <c r="N368" s="517"/>
      <c r="O368" s="517"/>
      <c r="P368" s="517"/>
      <c r="Q368" s="517"/>
      <c r="R368" s="517"/>
      <c r="S368" s="517"/>
      <c r="T368" s="517"/>
      <c r="U368" s="517"/>
      <c r="V368" s="517"/>
      <c r="W368" s="517"/>
      <c r="X368" s="517"/>
      <c r="Y368" s="517"/>
      <c r="Z368" s="517"/>
      <c r="AA368" s="517"/>
      <c r="AB368" s="517"/>
      <c r="AC368" s="517"/>
      <c r="AD368" s="517"/>
    </row>
    <row r="369" spans="3:30">
      <c r="C369" s="517"/>
      <c r="D369" s="517"/>
      <c r="E369" s="517"/>
      <c r="F369" s="517"/>
      <c r="G369" s="517"/>
      <c r="H369" s="517"/>
      <c r="I369" s="517"/>
      <c r="J369" s="517"/>
      <c r="K369" s="517"/>
      <c r="L369" s="517"/>
      <c r="M369" s="517"/>
      <c r="N369" s="517"/>
      <c r="O369" s="517"/>
      <c r="P369" s="517"/>
      <c r="Q369" s="517"/>
      <c r="R369" s="517"/>
      <c r="S369" s="517"/>
      <c r="T369" s="517"/>
      <c r="U369" s="517"/>
      <c r="V369" s="517"/>
      <c r="W369" s="517"/>
      <c r="X369" s="517"/>
      <c r="Y369" s="517"/>
      <c r="Z369" s="517"/>
      <c r="AA369" s="517"/>
      <c r="AB369" s="517"/>
      <c r="AC369" s="517"/>
      <c r="AD369" s="517"/>
    </row>
    <row r="370" spans="3:30">
      <c r="C370" s="517"/>
      <c r="D370" s="517"/>
      <c r="E370" s="517"/>
      <c r="F370" s="517"/>
      <c r="G370" s="517"/>
      <c r="H370" s="517"/>
      <c r="I370" s="517"/>
      <c r="J370" s="517"/>
      <c r="K370" s="517"/>
      <c r="L370" s="517"/>
      <c r="M370" s="517"/>
      <c r="N370" s="517"/>
      <c r="O370" s="517"/>
      <c r="P370" s="517"/>
      <c r="Q370" s="517"/>
      <c r="R370" s="517"/>
      <c r="S370" s="517"/>
      <c r="T370" s="517"/>
      <c r="U370" s="517"/>
      <c r="V370" s="517"/>
      <c r="W370" s="517"/>
      <c r="X370" s="517"/>
      <c r="Y370" s="517"/>
      <c r="Z370" s="517"/>
      <c r="AA370" s="517"/>
      <c r="AB370" s="517"/>
      <c r="AC370" s="517"/>
      <c r="AD370" s="517"/>
    </row>
    <row r="371" spans="3:30">
      <c r="C371" s="517"/>
      <c r="D371" s="517"/>
      <c r="E371" s="517"/>
      <c r="F371" s="517"/>
      <c r="G371" s="517"/>
      <c r="H371" s="517"/>
      <c r="I371" s="517"/>
      <c r="J371" s="517"/>
      <c r="K371" s="517"/>
      <c r="L371" s="517"/>
      <c r="M371" s="517"/>
      <c r="N371" s="517"/>
      <c r="O371" s="517"/>
      <c r="P371" s="517"/>
      <c r="Q371" s="517"/>
      <c r="R371" s="517"/>
      <c r="S371" s="517"/>
      <c r="T371" s="517"/>
      <c r="U371" s="517"/>
      <c r="V371" s="517"/>
      <c r="W371" s="517"/>
      <c r="X371" s="517"/>
      <c r="Y371" s="517"/>
      <c r="Z371" s="517"/>
      <c r="AA371" s="517"/>
      <c r="AB371" s="517"/>
      <c r="AC371" s="517"/>
      <c r="AD371" s="517"/>
    </row>
    <row r="372" spans="3:30">
      <c r="C372" s="517"/>
      <c r="D372" s="517"/>
      <c r="E372" s="517"/>
      <c r="F372" s="517"/>
      <c r="G372" s="517"/>
      <c r="H372" s="517"/>
      <c r="I372" s="517"/>
      <c r="J372" s="517"/>
      <c r="K372" s="517"/>
      <c r="L372" s="517"/>
      <c r="M372" s="517"/>
      <c r="N372" s="517"/>
      <c r="O372" s="517"/>
      <c r="P372" s="517"/>
      <c r="Q372" s="517"/>
      <c r="R372" s="517"/>
      <c r="S372" s="517"/>
      <c r="T372" s="517"/>
      <c r="U372" s="517"/>
      <c r="V372" s="517"/>
      <c r="W372" s="517"/>
      <c r="X372" s="517"/>
      <c r="Y372" s="517"/>
      <c r="Z372" s="517"/>
      <c r="AA372" s="517"/>
      <c r="AB372" s="517"/>
      <c r="AC372" s="517"/>
      <c r="AD372" s="517"/>
    </row>
    <row r="373" spans="3:30">
      <c r="C373" s="517"/>
      <c r="D373" s="517"/>
      <c r="E373" s="517"/>
      <c r="F373" s="517"/>
      <c r="G373" s="517"/>
      <c r="H373" s="517"/>
      <c r="I373" s="517"/>
      <c r="J373" s="517"/>
      <c r="K373" s="517"/>
      <c r="L373" s="517"/>
      <c r="M373" s="517"/>
      <c r="N373" s="517"/>
      <c r="O373" s="517"/>
      <c r="P373" s="517"/>
      <c r="Q373" s="517"/>
      <c r="R373" s="517"/>
      <c r="S373" s="517"/>
      <c r="T373" s="517"/>
      <c r="U373" s="517"/>
      <c r="V373" s="517"/>
      <c r="W373" s="517"/>
      <c r="X373" s="517"/>
      <c r="Y373" s="517"/>
      <c r="Z373" s="517"/>
      <c r="AA373" s="517"/>
      <c r="AB373" s="517"/>
      <c r="AC373" s="517"/>
      <c r="AD373" s="517"/>
    </row>
    <row r="374" spans="3:30">
      <c r="C374" s="517"/>
      <c r="D374" s="517"/>
      <c r="E374" s="517"/>
      <c r="F374" s="517"/>
      <c r="G374" s="517"/>
      <c r="H374" s="517"/>
      <c r="I374" s="517"/>
      <c r="J374" s="517"/>
      <c r="K374" s="517"/>
      <c r="L374" s="517"/>
      <c r="M374" s="517"/>
      <c r="N374" s="517"/>
      <c r="O374" s="517"/>
      <c r="P374" s="517"/>
      <c r="Q374" s="517"/>
      <c r="R374" s="517"/>
      <c r="S374" s="517"/>
      <c r="T374" s="517"/>
      <c r="U374" s="517"/>
      <c r="V374" s="517"/>
      <c r="W374" s="517"/>
      <c r="X374" s="517"/>
      <c r="Y374" s="517"/>
      <c r="Z374" s="517"/>
      <c r="AA374" s="517"/>
      <c r="AB374" s="517"/>
      <c r="AC374" s="517"/>
      <c r="AD374" s="517"/>
    </row>
    <row r="375" spans="3:30">
      <c r="C375" s="517"/>
      <c r="D375" s="517"/>
      <c r="E375" s="517"/>
      <c r="F375" s="517"/>
      <c r="G375" s="517"/>
      <c r="H375" s="517"/>
      <c r="I375" s="517"/>
      <c r="J375" s="517"/>
      <c r="K375" s="517"/>
      <c r="L375" s="517"/>
      <c r="M375" s="517"/>
      <c r="N375" s="517"/>
      <c r="O375" s="517"/>
      <c r="P375" s="517"/>
      <c r="Q375" s="517"/>
      <c r="R375" s="517"/>
      <c r="S375" s="517"/>
      <c r="T375" s="517"/>
      <c r="U375" s="517"/>
      <c r="V375" s="517"/>
      <c r="W375" s="517"/>
      <c r="X375" s="517"/>
      <c r="Y375" s="517"/>
      <c r="Z375" s="517"/>
      <c r="AA375" s="517"/>
      <c r="AB375" s="517"/>
      <c r="AC375" s="517"/>
      <c r="AD375" s="517"/>
    </row>
    <row r="376" spans="3:30">
      <c r="C376" s="517"/>
      <c r="D376" s="517"/>
      <c r="E376" s="517"/>
      <c r="F376" s="517"/>
      <c r="G376" s="517"/>
      <c r="H376" s="517"/>
      <c r="I376" s="517"/>
      <c r="J376" s="517"/>
      <c r="K376" s="517"/>
      <c r="L376" s="517"/>
      <c r="M376" s="517"/>
      <c r="N376" s="517"/>
      <c r="O376" s="517"/>
      <c r="P376" s="517"/>
      <c r="Q376" s="517"/>
      <c r="R376" s="517"/>
      <c r="S376" s="517"/>
      <c r="T376" s="517"/>
      <c r="U376" s="517"/>
      <c r="V376" s="517"/>
      <c r="W376" s="517"/>
      <c r="X376" s="517"/>
      <c r="Y376" s="517"/>
      <c r="Z376" s="517"/>
      <c r="AA376" s="517"/>
      <c r="AB376" s="517"/>
      <c r="AC376" s="517"/>
      <c r="AD376" s="517"/>
    </row>
    <row r="377" spans="3:30">
      <c r="C377" s="517"/>
      <c r="D377" s="517"/>
      <c r="E377" s="517"/>
      <c r="F377" s="517"/>
      <c r="G377" s="517"/>
      <c r="H377" s="517"/>
      <c r="I377" s="517"/>
      <c r="J377" s="517"/>
      <c r="K377" s="517"/>
      <c r="L377" s="517"/>
      <c r="M377" s="517"/>
      <c r="N377" s="517"/>
      <c r="O377" s="517"/>
      <c r="P377" s="517"/>
      <c r="Q377" s="517"/>
      <c r="R377" s="517"/>
      <c r="S377" s="517"/>
      <c r="T377" s="517"/>
      <c r="U377" s="517"/>
      <c r="V377" s="517"/>
      <c r="W377" s="517"/>
      <c r="X377" s="517"/>
      <c r="Y377" s="517"/>
      <c r="Z377" s="517"/>
      <c r="AA377" s="517"/>
      <c r="AB377" s="517"/>
      <c r="AC377" s="517"/>
      <c r="AD377" s="517"/>
    </row>
    <row r="378" spans="3:30">
      <c r="C378" s="517"/>
      <c r="D378" s="517"/>
      <c r="E378" s="517"/>
      <c r="F378" s="517"/>
      <c r="G378" s="517"/>
      <c r="H378" s="517"/>
      <c r="I378" s="517"/>
      <c r="J378" s="517"/>
      <c r="K378" s="517"/>
      <c r="L378" s="517"/>
      <c r="M378" s="517"/>
      <c r="N378" s="517"/>
      <c r="O378" s="517"/>
      <c r="P378" s="517"/>
      <c r="Q378" s="517"/>
      <c r="R378" s="517"/>
      <c r="S378" s="517"/>
      <c r="T378" s="517"/>
      <c r="U378" s="517"/>
      <c r="V378" s="517"/>
      <c r="W378" s="517"/>
      <c r="X378" s="517"/>
      <c r="Y378" s="517"/>
      <c r="Z378" s="517"/>
      <c r="AA378" s="517"/>
      <c r="AB378" s="517"/>
      <c r="AC378" s="517"/>
      <c r="AD378" s="517"/>
    </row>
    <row r="379" spans="3:30">
      <c r="C379" s="517"/>
      <c r="D379" s="517"/>
      <c r="E379" s="517"/>
      <c r="F379" s="517"/>
      <c r="G379" s="517"/>
      <c r="H379" s="517"/>
      <c r="I379" s="517"/>
      <c r="J379" s="517"/>
      <c r="K379" s="517"/>
      <c r="L379" s="517"/>
      <c r="M379" s="517"/>
      <c r="N379" s="517"/>
      <c r="O379" s="517"/>
      <c r="P379" s="517"/>
      <c r="Q379" s="517"/>
      <c r="R379" s="517"/>
      <c r="S379" s="517"/>
      <c r="T379" s="517"/>
      <c r="U379" s="517"/>
      <c r="V379" s="517"/>
      <c r="W379" s="517"/>
      <c r="X379" s="517"/>
      <c r="Y379" s="517"/>
      <c r="Z379" s="517"/>
      <c r="AA379" s="517"/>
      <c r="AB379" s="517"/>
      <c r="AC379" s="517"/>
      <c r="AD379" s="517"/>
    </row>
    <row r="380" spans="3:30">
      <c r="C380" s="517"/>
      <c r="D380" s="517"/>
      <c r="E380" s="517"/>
      <c r="F380" s="517"/>
      <c r="G380" s="517"/>
      <c r="H380" s="517"/>
      <c r="I380" s="517"/>
      <c r="J380" s="517"/>
      <c r="K380" s="517"/>
      <c r="L380" s="517"/>
      <c r="M380" s="517"/>
      <c r="N380" s="517"/>
      <c r="O380" s="517"/>
      <c r="P380" s="517"/>
      <c r="Q380" s="517"/>
      <c r="R380" s="517"/>
      <c r="S380" s="517"/>
      <c r="T380" s="517"/>
      <c r="U380" s="517"/>
      <c r="V380" s="517"/>
      <c r="W380" s="517"/>
      <c r="X380" s="517"/>
      <c r="Y380" s="517"/>
      <c r="Z380" s="517"/>
      <c r="AA380" s="517"/>
      <c r="AB380" s="517"/>
      <c r="AC380" s="517"/>
      <c r="AD380" s="517"/>
    </row>
  </sheetData>
  <mergeCells count="12">
    <mergeCell ref="A1:AD1"/>
    <mergeCell ref="A2:AD2"/>
    <mergeCell ref="A3:AD3"/>
    <mergeCell ref="A4:AD4"/>
    <mergeCell ref="S7:V7"/>
    <mergeCell ref="W7:Z7"/>
    <mergeCell ref="AA7:AD7"/>
    <mergeCell ref="A44:B44"/>
    <mergeCell ref="C7:F7"/>
    <mergeCell ref="G7:J7"/>
    <mergeCell ref="K7:N7"/>
    <mergeCell ref="O7:R7"/>
  </mergeCells>
  <phoneticPr fontId="19" type="noConversion"/>
  <pageMargins left="0.39370078740157483" right="0" top="0.98425196850393704" bottom="0.98425196850393704" header="0" footer="0"/>
  <pageSetup paperSize="5" scale="69" orientation="landscape" horizontalDpi="300" verticalDpi="300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368"/>
  <sheetViews>
    <sheetView topLeftCell="Q42" workbookViewId="0">
      <selection activeCell="AB44" sqref="AB44"/>
    </sheetView>
  </sheetViews>
  <sheetFormatPr baseColWidth="10" defaultRowHeight="12"/>
  <cols>
    <col min="1" max="1" width="12.28515625" style="406" customWidth="1"/>
    <col min="2" max="2" width="17.42578125" style="406" customWidth="1"/>
    <col min="3" max="30" width="7.140625" style="406" customWidth="1"/>
    <col min="31" max="31" width="9.7109375" style="406" customWidth="1"/>
    <col min="32" max="16384" width="11.42578125" style="406"/>
  </cols>
  <sheetData>
    <row r="1" spans="1:30">
      <c r="A1" s="1225" t="s">
        <v>1014</v>
      </c>
      <c r="B1" s="1225"/>
      <c r="C1" s="1225"/>
      <c r="D1" s="1225"/>
      <c r="E1" s="1225"/>
      <c r="F1" s="1225"/>
      <c r="G1" s="1225"/>
      <c r="H1" s="1225"/>
      <c r="I1" s="1225"/>
      <c r="J1" s="1225"/>
      <c r="K1" s="1225"/>
      <c r="L1" s="1225"/>
      <c r="M1" s="1225"/>
      <c r="N1" s="1225"/>
      <c r="O1" s="1225"/>
      <c r="P1" s="1225"/>
      <c r="Q1" s="1225"/>
      <c r="R1" s="1225"/>
      <c r="S1" s="1225"/>
      <c r="T1" s="1225"/>
      <c r="U1" s="1225"/>
      <c r="V1" s="1225"/>
      <c r="W1" s="1225"/>
      <c r="X1" s="1225"/>
      <c r="Y1" s="1225"/>
      <c r="Z1" s="1225"/>
      <c r="AA1" s="1225"/>
      <c r="AB1" s="1225"/>
      <c r="AC1" s="1225"/>
      <c r="AD1" s="1225"/>
    </row>
    <row r="2" spans="1:30">
      <c r="A2" s="1225" t="s">
        <v>1031</v>
      </c>
      <c r="B2" s="1225"/>
      <c r="C2" s="1225"/>
      <c r="D2" s="1225"/>
      <c r="E2" s="1225"/>
      <c r="F2" s="1225"/>
      <c r="G2" s="1225"/>
      <c r="H2" s="1225"/>
      <c r="I2" s="1225"/>
      <c r="J2" s="1225"/>
      <c r="K2" s="1225"/>
      <c r="L2" s="1225"/>
      <c r="M2" s="1225"/>
      <c r="N2" s="1225"/>
      <c r="O2" s="1225"/>
      <c r="P2" s="1225"/>
      <c r="Q2" s="1225"/>
      <c r="R2" s="1225"/>
      <c r="S2" s="1225"/>
      <c r="T2" s="1225"/>
      <c r="U2" s="1225"/>
      <c r="V2" s="1225"/>
      <c r="W2" s="1225"/>
      <c r="X2" s="1225"/>
      <c r="Y2" s="1225"/>
      <c r="Z2" s="1225"/>
      <c r="AA2" s="1225"/>
      <c r="AB2" s="1225"/>
      <c r="AC2" s="1225"/>
      <c r="AD2" s="1225"/>
    </row>
    <row r="3" spans="1:30">
      <c r="A3" s="1225" t="s">
        <v>970</v>
      </c>
      <c r="B3" s="1225"/>
      <c r="C3" s="1225"/>
      <c r="D3" s="1225"/>
      <c r="E3" s="1225"/>
      <c r="F3" s="1225"/>
      <c r="G3" s="1225"/>
      <c r="H3" s="1225"/>
      <c r="I3" s="1225"/>
      <c r="J3" s="1225"/>
      <c r="K3" s="1225"/>
      <c r="L3" s="1225"/>
      <c r="M3" s="1225"/>
      <c r="N3" s="1225"/>
      <c r="O3" s="1225"/>
      <c r="P3" s="1225"/>
      <c r="Q3" s="1225"/>
      <c r="R3" s="1225"/>
      <c r="S3" s="1225"/>
      <c r="T3" s="1225"/>
      <c r="U3" s="1225"/>
      <c r="V3" s="1225"/>
      <c r="W3" s="1225"/>
      <c r="X3" s="1225"/>
      <c r="Y3" s="1225"/>
      <c r="Z3" s="1225"/>
      <c r="AA3" s="1225"/>
      <c r="AB3" s="1225"/>
      <c r="AC3" s="1225"/>
      <c r="AD3" s="1225"/>
    </row>
    <row r="4" spans="1:30">
      <c r="A4" s="1225" t="str">
        <f>+'52'!A4:AD4</f>
        <v>2011 - 2014</v>
      </c>
      <c r="B4" s="1225"/>
      <c r="C4" s="1225"/>
      <c r="D4" s="1225"/>
      <c r="E4" s="1225"/>
      <c r="F4" s="1225"/>
      <c r="G4" s="1225"/>
      <c r="H4" s="1225"/>
      <c r="I4" s="1225"/>
      <c r="J4" s="1225"/>
      <c r="K4" s="1225"/>
      <c r="L4" s="1225"/>
      <c r="M4" s="1225"/>
      <c r="N4" s="1225"/>
      <c r="O4" s="1225"/>
      <c r="P4" s="1225"/>
      <c r="Q4" s="1225"/>
      <c r="R4" s="1225"/>
      <c r="S4" s="1225"/>
      <c r="T4" s="1225"/>
      <c r="U4" s="1225"/>
      <c r="V4" s="1225"/>
      <c r="W4" s="1225"/>
      <c r="X4" s="1225"/>
      <c r="Y4" s="1225"/>
      <c r="Z4" s="1225"/>
      <c r="AA4" s="1225"/>
      <c r="AB4" s="1225"/>
      <c r="AC4" s="1225"/>
      <c r="AD4" s="1225"/>
    </row>
    <row r="7" spans="1:30" s="515" customFormat="1" ht="22.5" customHeight="1">
      <c r="A7" s="473" t="s">
        <v>590</v>
      </c>
      <c r="B7" s="514" t="s">
        <v>926</v>
      </c>
      <c r="C7" s="1216" t="s">
        <v>1016</v>
      </c>
      <c r="D7" s="1217"/>
      <c r="E7" s="1217"/>
      <c r="F7" s="1218"/>
      <c r="G7" s="1217" t="s">
        <v>1017</v>
      </c>
      <c r="H7" s="1217"/>
      <c r="I7" s="1217"/>
      <c r="J7" s="1217"/>
      <c r="K7" s="1216" t="s">
        <v>1018</v>
      </c>
      <c r="L7" s="1217"/>
      <c r="M7" s="1217"/>
      <c r="N7" s="1218"/>
      <c r="O7" s="1217" t="s">
        <v>1019</v>
      </c>
      <c r="P7" s="1217"/>
      <c r="Q7" s="1217"/>
      <c r="R7" s="1217"/>
      <c r="S7" s="1216" t="s">
        <v>1020</v>
      </c>
      <c r="T7" s="1217"/>
      <c r="U7" s="1217"/>
      <c r="V7" s="1218"/>
      <c r="W7" s="1217" t="s">
        <v>1021</v>
      </c>
      <c r="X7" s="1217"/>
      <c r="Y7" s="1217"/>
      <c r="Z7" s="1217"/>
      <c r="AA7" s="1216" t="s">
        <v>706</v>
      </c>
      <c r="AB7" s="1217"/>
      <c r="AC7" s="1217"/>
      <c r="AD7" s="1218"/>
    </row>
    <row r="8" spans="1:30" s="515" customFormat="1" ht="22.5" customHeight="1">
      <c r="A8" s="495"/>
      <c r="B8" s="495"/>
      <c r="C8" s="496">
        <f>+'50'!C8</f>
        <v>2011</v>
      </c>
      <c r="D8" s="497">
        <f>+'50'!D8</f>
        <v>2012</v>
      </c>
      <c r="E8" s="497">
        <f>+'50'!E8</f>
        <v>2013</v>
      </c>
      <c r="F8" s="498">
        <f>+'50'!F8</f>
        <v>2014</v>
      </c>
      <c r="G8" s="496">
        <f>+'50'!G8</f>
        <v>2011</v>
      </c>
      <c r="H8" s="497">
        <f>+'50'!H8</f>
        <v>2012</v>
      </c>
      <c r="I8" s="497">
        <f>+'50'!I8</f>
        <v>2013</v>
      </c>
      <c r="J8" s="498">
        <f>+'50'!J8</f>
        <v>2014</v>
      </c>
      <c r="K8" s="497">
        <f>+'50'!K8</f>
        <v>2011</v>
      </c>
      <c r="L8" s="497">
        <f>+'50'!L8</f>
        <v>2012</v>
      </c>
      <c r="M8" s="497">
        <f>+'50'!M8</f>
        <v>2013</v>
      </c>
      <c r="N8" s="497">
        <f>+'50'!N8</f>
        <v>2014</v>
      </c>
      <c r="O8" s="496">
        <f>+'50'!O8</f>
        <v>2011</v>
      </c>
      <c r="P8" s="497">
        <f>+'50'!P8</f>
        <v>2012</v>
      </c>
      <c r="Q8" s="497">
        <f>+'50'!Q8</f>
        <v>2013</v>
      </c>
      <c r="R8" s="498">
        <f>+'50'!R8</f>
        <v>2014</v>
      </c>
      <c r="S8" s="497">
        <f>+'50'!S8</f>
        <v>2011</v>
      </c>
      <c r="T8" s="497">
        <f>+'50'!T8</f>
        <v>2012</v>
      </c>
      <c r="U8" s="497">
        <f>+'50'!U8</f>
        <v>2013</v>
      </c>
      <c r="V8" s="498">
        <f>+'50'!V8</f>
        <v>2014</v>
      </c>
      <c r="W8" s="496">
        <f>+'50'!W8</f>
        <v>2011</v>
      </c>
      <c r="X8" s="497">
        <f>+'50'!X8</f>
        <v>2012</v>
      </c>
      <c r="Y8" s="497">
        <f>+'50'!Y8</f>
        <v>2013</v>
      </c>
      <c r="Z8" s="498">
        <f>+'50'!Z8</f>
        <v>2014</v>
      </c>
      <c r="AA8" s="496">
        <f>+'50'!AA8</f>
        <v>2011</v>
      </c>
      <c r="AB8" s="497">
        <f>+'50'!AB8</f>
        <v>2012</v>
      </c>
      <c r="AC8" s="497">
        <f>+'50'!AC8</f>
        <v>2013</v>
      </c>
      <c r="AD8" s="498">
        <f>+'50'!AD8</f>
        <v>2014</v>
      </c>
    </row>
    <row r="9" spans="1:30" s="515" customFormat="1" ht="22.5" customHeight="1">
      <c r="A9" s="499" t="s">
        <v>1022</v>
      </c>
      <c r="B9" s="514" t="s">
        <v>887</v>
      </c>
      <c r="C9" s="503">
        <v>9434</v>
      </c>
      <c r="D9" s="378">
        <v>10914</v>
      </c>
      <c r="E9" s="378">
        <v>9009</v>
      </c>
      <c r="F9" s="500">
        <v>9485</v>
      </c>
      <c r="G9" s="378">
        <v>2337</v>
      </c>
      <c r="H9" s="378">
        <v>2312</v>
      </c>
      <c r="I9" s="378">
        <v>2065</v>
      </c>
      <c r="J9" s="500">
        <v>1352</v>
      </c>
      <c r="K9" s="378">
        <v>1718</v>
      </c>
      <c r="L9" s="378">
        <v>1559</v>
      </c>
      <c r="M9" s="378">
        <v>1109</v>
      </c>
      <c r="N9" s="500">
        <v>615</v>
      </c>
      <c r="O9" s="378">
        <v>2428</v>
      </c>
      <c r="P9" s="378">
        <v>2625</v>
      </c>
      <c r="Q9" s="378">
        <v>2066</v>
      </c>
      <c r="R9" s="500">
        <v>1824</v>
      </c>
      <c r="S9" s="378">
        <v>617</v>
      </c>
      <c r="T9" s="378">
        <v>376</v>
      </c>
      <c r="U9" s="378">
        <v>396</v>
      </c>
      <c r="V9" s="500">
        <v>348</v>
      </c>
      <c r="W9" s="503">
        <v>250</v>
      </c>
      <c r="X9" s="378">
        <v>258</v>
      </c>
      <c r="Y9" s="378">
        <v>255</v>
      </c>
      <c r="Z9" s="378">
        <v>52</v>
      </c>
      <c r="AA9" s="377">
        <f t="shared" ref="AA9:AD12" si="0">+W9+S9+O9+K9+G9+C9</f>
        <v>16784</v>
      </c>
      <c r="AB9" s="378">
        <f t="shared" si="0"/>
        <v>18044</v>
      </c>
      <c r="AC9" s="378">
        <f t="shared" si="0"/>
        <v>14900</v>
      </c>
      <c r="AD9" s="500">
        <f t="shared" si="0"/>
        <v>13676</v>
      </c>
    </row>
    <row r="10" spans="1:30" s="515" customFormat="1" ht="22.5" customHeight="1">
      <c r="A10" s="499"/>
      <c r="B10" s="350" t="s">
        <v>888</v>
      </c>
      <c r="C10" s="378">
        <v>15311</v>
      </c>
      <c r="D10" s="378">
        <v>16030</v>
      </c>
      <c r="E10" s="378">
        <v>12264</v>
      </c>
      <c r="F10" s="500">
        <v>10633</v>
      </c>
      <c r="G10" s="378">
        <v>1200</v>
      </c>
      <c r="H10" s="378">
        <v>1019</v>
      </c>
      <c r="I10" s="378">
        <v>1010</v>
      </c>
      <c r="J10" s="500">
        <v>1094</v>
      </c>
      <c r="K10" s="378">
        <v>457</v>
      </c>
      <c r="L10" s="378">
        <v>297</v>
      </c>
      <c r="M10" s="378">
        <v>250</v>
      </c>
      <c r="N10" s="500">
        <v>252</v>
      </c>
      <c r="O10" s="378">
        <v>3860</v>
      </c>
      <c r="P10" s="378">
        <v>3273</v>
      </c>
      <c r="Q10" s="378">
        <v>3827</v>
      </c>
      <c r="R10" s="500">
        <v>3105</v>
      </c>
      <c r="S10" s="378">
        <v>818</v>
      </c>
      <c r="T10" s="378">
        <v>513</v>
      </c>
      <c r="U10" s="378">
        <v>393</v>
      </c>
      <c r="V10" s="500">
        <v>510</v>
      </c>
      <c r="W10" s="378">
        <v>410</v>
      </c>
      <c r="X10" s="378">
        <v>552</v>
      </c>
      <c r="Y10" s="378">
        <v>53</v>
      </c>
      <c r="Z10" s="378"/>
      <c r="AA10" s="377">
        <f t="shared" si="0"/>
        <v>22056</v>
      </c>
      <c r="AB10" s="378">
        <f t="shared" si="0"/>
        <v>21684</v>
      </c>
      <c r="AC10" s="378">
        <f t="shared" si="0"/>
        <v>17797</v>
      </c>
      <c r="AD10" s="500">
        <f t="shared" si="0"/>
        <v>15594</v>
      </c>
    </row>
    <row r="11" spans="1:30" s="515" customFormat="1" ht="22.5" customHeight="1">
      <c r="A11" s="499"/>
      <c r="B11" s="350" t="s">
        <v>889</v>
      </c>
      <c r="C11" s="378">
        <v>1524</v>
      </c>
      <c r="D11" s="378">
        <v>2240</v>
      </c>
      <c r="E11" s="378">
        <v>1701</v>
      </c>
      <c r="F11" s="500">
        <v>2196</v>
      </c>
      <c r="G11" s="378">
        <v>418</v>
      </c>
      <c r="H11" s="378">
        <v>367</v>
      </c>
      <c r="I11" s="378">
        <v>319</v>
      </c>
      <c r="J11" s="500">
        <v>182</v>
      </c>
      <c r="K11" s="378">
        <v>140</v>
      </c>
      <c r="L11" s="378">
        <v>132</v>
      </c>
      <c r="M11" s="378">
        <v>76</v>
      </c>
      <c r="N11" s="500">
        <v>78</v>
      </c>
      <c r="O11" s="378">
        <v>421</v>
      </c>
      <c r="P11" s="378">
        <v>485</v>
      </c>
      <c r="Q11" s="378">
        <v>357</v>
      </c>
      <c r="R11" s="500">
        <v>593</v>
      </c>
      <c r="S11" s="378">
        <v>92</v>
      </c>
      <c r="T11" s="378">
        <v>26</v>
      </c>
      <c r="U11" s="378">
        <v>61</v>
      </c>
      <c r="V11" s="500">
        <v>128</v>
      </c>
      <c r="W11" s="378">
        <v>47</v>
      </c>
      <c r="X11" s="378">
        <v>45</v>
      </c>
      <c r="Y11" s="378">
        <v>44</v>
      </c>
      <c r="Z11" s="378">
        <v>30</v>
      </c>
      <c r="AA11" s="377">
        <f t="shared" si="0"/>
        <v>2642</v>
      </c>
      <c r="AB11" s="378">
        <f t="shared" si="0"/>
        <v>3295</v>
      </c>
      <c r="AC11" s="378">
        <f t="shared" si="0"/>
        <v>2558</v>
      </c>
      <c r="AD11" s="500">
        <f t="shared" si="0"/>
        <v>3207</v>
      </c>
    </row>
    <row r="12" spans="1:30" s="515" customFormat="1" ht="22.5" customHeight="1">
      <c r="A12" s="499"/>
      <c r="B12" s="303" t="s">
        <v>1357</v>
      </c>
      <c r="C12" s="378"/>
      <c r="D12" s="378">
        <v>525</v>
      </c>
      <c r="E12" s="378">
        <v>428</v>
      </c>
      <c r="F12" s="500">
        <v>508</v>
      </c>
      <c r="G12" s="378"/>
      <c r="H12" s="378">
        <v>81</v>
      </c>
      <c r="I12" s="378">
        <v>110</v>
      </c>
      <c r="J12" s="500">
        <v>71</v>
      </c>
      <c r="K12" s="378"/>
      <c r="L12" s="378">
        <v>7</v>
      </c>
      <c r="M12" s="378">
        <v>33</v>
      </c>
      <c r="N12" s="500">
        <v>34</v>
      </c>
      <c r="O12" s="378"/>
      <c r="P12" s="378">
        <v>119</v>
      </c>
      <c r="Q12" s="378">
        <v>77</v>
      </c>
      <c r="R12" s="500">
        <v>105</v>
      </c>
      <c r="S12" s="378"/>
      <c r="T12" s="378">
        <v>8</v>
      </c>
      <c r="U12" s="378">
        <v>11</v>
      </c>
      <c r="V12" s="500">
        <v>14</v>
      </c>
      <c r="W12" s="378"/>
      <c r="X12" s="378">
        <v>8</v>
      </c>
      <c r="Y12" s="378">
        <v>40</v>
      </c>
      <c r="Z12" s="378">
        <v>5</v>
      </c>
      <c r="AA12" s="377"/>
      <c r="AB12" s="378">
        <f t="shared" si="0"/>
        <v>748</v>
      </c>
      <c r="AC12" s="378">
        <f t="shared" si="0"/>
        <v>699</v>
      </c>
      <c r="AD12" s="500">
        <f>+Z12+V12+R12+N12+J12+F12</f>
        <v>737</v>
      </c>
    </row>
    <row r="13" spans="1:30" s="515" customFormat="1" ht="22.5" customHeight="1">
      <c r="A13" s="499"/>
      <c r="B13" s="350" t="s">
        <v>690</v>
      </c>
      <c r="C13" s="377">
        <f t="shared" ref="C13:D13" si="1">SUM(C9:C12)</f>
        <v>26269</v>
      </c>
      <c r="D13" s="378">
        <f t="shared" si="1"/>
        <v>29709</v>
      </c>
      <c r="E13" s="378">
        <f>SUM(E9:E12)</f>
        <v>23402</v>
      </c>
      <c r="F13" s="500">
        <f>SUM(F9:F12)</f>
        <v>22822</v>
      </c>
      <c r="G13" s="377">
        <f t="shared" ref="G13:AD13" si="2">SUM(G9:G12)</f>
        <v>3955</v>
      </c>
      <c r="H13" s="378">
        <f t="shared" si="2"/>
        <v>3779</v>
      </c>
      <c r="I13" s="378">
        <f t="shared" si="2"/>
        <v>3504</v>
      </c>
      <c r="J13" s="500">
        <f t="shared" si="2"/>
        <v>2699</v>
      </c>
      <c r="K13" s="377">
        <f t="shared" si="2"/>
        <v>2315</v>
      </c>
      <c r="L13" s="378">
        <f t="shared" si="2"/>
        <v>1995</v>
      </c>
      <c r="M13" s="378">
        <f t="shared" si="2"/>
        <v>1468</v>
      </c>
      <c r="N13" s="500">
        <f t="shared" si="2"/>
        <v>979</v>
      </c>
      <c r="O13" s="377">
        <f t="shared" si="2"/>
        <v>6709</v>
      </c>
      <c r="P13" s="378">
        <f t="shared" si="2"/>
        <v>6502</v>
      </c>
      <c r="Q13" s="378">
        <f t="shared" si="2"/>
        <v>6327</v>
      </c>
      <c r="R13" s="500">
        <f t="shared" si="2"/>
        <v>5627</v>
      </c>
      <c r="S13" s="377">
        <f t="shared" si="2"/>
        <v>1527</v>
      </c>
      <c r="T13" s="378">
        <f t="shared" si="2"/>
        <v>923</v>
      </c>
      <c r="U13" s="378">
        <f t="shared" si="2"/>
        <v>861</v>
      </c>
      <c r="V13" s="500">
        <f t="shared" si="2"/>
        <v>1000</v>
      </c>
      <c r="W13" s="377">
        <f t="shared" si="2"/>
        <v>707</v>
      </c>
      <c r="X13" s="378">
        <f t="shared" si="2"/>
        <v>863</v>
      </c>
      <c r="Y13" s="378">
        <f t="shared" si="2"/>
        <v>392</v>
      </c>
      <c r="Z13" s="500">
        <f t="shared" si="2"/>
        <v>87</v>
      </c>
      <c r="AA13" s="377">
        <f t="shared" si="2"/>
        <v>41482</v>
      </c>
      <c r="AB13" s="378">
        <f t="shared" si="2"/>
        <v>43771</v>
      </c>
      <c r="AC13" s="378">
        <f t="shared" si="2"/>
        <v>35954</v>
      </c>
      <c r="AD13" s="500">
        <f t="shared" si="2"/>
        <v>33214</v>
      </c>
    </row>
    <row r="14" spans="1:30" s="515" customFormat="1" ht="22.5" customHeight="1">
      <c r="A14" s="499" t="s">
        <v>576</v>
      </c>
      <c r="B14" s="350" t="s">
        <v>890</v>
      </c>
      <c r="C14" s="378">
        <v>13845</v>
      </c>
      <c r="D14" s="378">
        <v>7803</v>
      </c>
      <c r="E14" s="378">
        <v>6414</v>
      </c>
      <c r="F14" s="500">
        <v>8330</v>
      </c>
      <c r="G14" s="378">
        <v>1618</v>
      </c>
      <c r="H14" s="378">
        <v>1100</v>
      </c>
      <c r="I14" s="378">
        <v>1467</v>
      </c>
      <c r="J14" s="500">
        <v>841</v>
      </c>
      <c r="K14" s="378">
        <v>389</v>
      </c>
      <c r="L14" s="378">
        <v>423</v>
      </c>
      <c r="M14" s="378">
        <v>476</v>
      </c>
      <c r="N14" s="500">
        <v>314</v>
      </c>
      <c r="O14" s="378">
        <v>1179</v>
      </c>
      <c r="P14" s="378">
        <v>937</v>
      </c>
      <c r="Q14" s="378">
        <v>1030</v>
      </c>
      <c r="R14" s="500">
        <v>913</v>
      </c>
      <c r="S14" s="378">
        <v>1083</v>
      </c>
      <c r="T14" s="378">
        <v>379</v>
      </c>
      <c r="U14" s="378">
        <v>656</v>
      </c>
      <c r="V14" s="500">
        <v>954</v>
      </c>
      <c r="W14" s="378"/>
      <c r="X14" s="378"/>
      <c r="Y14" s="378">
        <v>2</v>
      </c>
      <c r="Z14" s="500"/>
      <c r="AA14" s="377">
        <f>+W14+S14+O14+K14+G14+C14</f>
        <v>18114</v>
      </c>
      <c r="AB14" s="378">
        <f>+X14+T14+P14+L14+H14+D14</f>
        <v>10642</v>
      </c>
      <c r="AC14" s="378">
        <f>+Y14+U14+Q14+M14+I14+E14</f>
        <v>10045</v>
      </c>
      <c r="AD14" s="500">
        <f>+Z14+V14+R14+N14+J14+F14</f>
        <v>11352</v>
      </c>
    </row>
    <row r="15" spans="1:30" s="515" customFormat="1" ht="22.5" customHeight="1">
      <c r="A15" s="499"/>
      <c r="B15" s="254" t="s">
        <v>1362</v>
      </c>
      <c r="C15" s="378"/>
      <c r="D15" s="378">
        <v>2240</v>
      </c>
      <c r="E15" s="378">
        <v>961</v>
      </c>
      <c r="F15" s="500">
        <v>1069</v>
      </c>
      <c r="G15" s="378"/>
      <c r="H15" s="378">
        <v>367</v>
      </c>
      <c r="I15" s="378">
        <v>319</v>
      </c>
      <c r="J15" s="500">
        <v>229</v>
      </c>
      <c r="K15" s="378"/>
      <c r="L15" s="378">
        <v>132</v>
      </c>
      <c r="M15" s="378">
        <v>174</v>
      </c>
      <c r="N15" s="500">
        <v>175</v>
      </c>
      <c r="O15" s="378"/>
      <c r="P15" s="378">
        <v>485</v>
      </c>
      <c r="Q15" s="378">
        <v>123</v>
      </c>
      <c r="R15" s="500">
        <v>176</v>
      </c>
      <c r="S15" s="378"/>
      <c r="T15" s="378">
        <v>26</v>
      </c>
      <c r="U15" s="378"/>
      <c r="V15" s="500"/>
      <c r="W15" s="378"/>
      <c r="X15" s="378">
        <v>45</v>
      </c>
      <c r="Y15" s="378"/>
      <c r="Z15" s="500"/>
      <c r="AA15" s="377"/>
      <c r="AB15" s="378">
        <f t="shared" ref="AB15:AD16" si="3">+X15+T15+P15+L15+H15+D15</f>
        <v>3295</v>
      </c>
      <c r="AC15" s="378">
        <f t="shared" si="3"/>
        <v>1577</v>
      </c>
      <c r="AD15" s="500">
        <f t="shared" si="3"/>
        <v>1649</v>
      </c>
    </row>
    <row r="16" spans="1:30" s="515" customFormat="1" ht="22.5" customHeight="1">
      <c r="A16" s="499"/>
      <c r="B16" s="303" t="s">
        <v>1359</v>
      </c>
      <c r="C16" s="378"/>
      <c r="D16" s="378">
        <v>1092</v>
      </c>
      <c r="E16" s="378">
        <v>791</v>
      </c>
      <c r="F16" s="500">
        <v>964</v>
      </c>
      <c r="G16" s="378"/>
      <c r="H16" s="378">
        <v>294</v>
      </c>
      <c r="I16" s="378">
        <v>231</v>
      </c>
      <c r="J16" s="500">
        <v>155</v>
      </c>
      <c r="K16" s="378"/>
      <c r="L16" s="378">
        <v>63</v>
      </c>
      <c r="M16" s="378">
        <v>86</v>
      </c>
      <c r="N16" s="500">
        <v>93</v>
      </c>
      <c r="O16" s="378"/>
      <c r="P16" s="378">
        <v>172</v>
      </c>
      <c r="Q16" s="378">
        <v>114</v>
      </c>
      <c r="R16" s="500">
        <v>89</v>
      </c>
      <c r="S16" s="378"/>
      <c r="T16" s="378">
        <v>3</v>
      </c>
      <c r="U16" s="378"/>
      <c r="V16" s="500"/>
      <c r="W16" s="378"/>
      <c r="X16" s="378">
        <v>2</v>
      </c>
      <c r="Y16" s="378">
        <v>5</v>
      </c>
      <c r="Z16" s="500"/>
      <c r="AA16" s="377"/>
      <c r="AB16" s="378">
        <f t="shared" si="3"/>
        <v>1626</v>
      </c>
      <c r="AC16" s="378">
        <f t="shared" si="3"/>
        <v>1227</v>
      </c>
      <c r="AD16" s="500">
        <f t="shared" si="3"/>
        <v>1301</v>
      </c>
    </row>
    <row r="17" spans="1:30" s="515" customFormat="1" ht="22.5" customHeight="1">
      <c r="A17" s="499"/>
      <c r="B17" s="350" t="s">
        <v>690</v>
      </c>
      <c r="C17" s="377">
        <f t="shared" ref="C17:D17" si="4">SUM(C14:C16)</f>
        <v>13845</v>
      </c>
      <c r="D17" s="378">
        <f t="shared" si="4"/>
        <v>11135</v>
      </c>
      <c r="E17" s="378">
        <f>SUM(E14:E16)</f>
        <v>8166</v>
      </c>
      <c r="F17" s="500">
        <f>SUM(F14:F16)</f>
        <v>10363</v>
      </c>
      <c r="G17" s="377">
        <f t="shared" ref="G17:AD17" si="5">SUM(G14:G16)</f>
        <v>1618</v>
      </c>
      <c r="H17" s="378">
        <f t="shared" si="5"/>
        <v>1761</v>
      </c>
      <c r="I17" s="378">
        <f t="shared" si="5"/>
        <v>2017</v>
      </c>
      <c r="J17" s="500">
        <f t="shared" si="5"/>
        <v>1225</v>
      </c>
      <c r="K17" s="377">
        <f t="shared" si="5"/>
        <v>389</v>
      </c>
      <c r="L17" s="378">
        <f t="shared" si="5"/>
        <v>618</v>
      </c>
      <c r="M17" s="378">
        <f t="shared" si="5"/>
        <v>736</v>
      </c>
      <c r="N17" s="500">
        <f t="shared" si="5"/>
        <v>582</v>
      </c>
      <c r="O17" s="377">
        <f t="shared" si="5"/>
        <v>1179</v>
      </c>
      <c r="P17" s="378">
        <f t="shared" si="5"/>
        <v>1594</v>
      </c>
      <c r="Q17" s="378">
        <f t="shared" si="5"/>
        <v>1267</v>
      </c>
      <c r="R17" s="500">
        <f t="shared" si="5"/>
        <v>1178</v>
      </c>
      <c r="S17" s="377">
        <f t="shared" si="5"/>
        <v>1083</v>
      </c>
      <c r="T17" s="378">
        <f t="shared" si="5"/>
        <v>408</v>
      </c>
      <c r="U17" s="378">
        <f t="shared" si="5"/>
        <v>656</v>
      </c>
      <c r="V17" s="500">
        <f t="shared" si="5"/>
        <v>954</v>
      </c>
      <c r="W17" s="377">
        <f t="shared" si="5"/>
        <v>0</v>
      </c>
      <c r="X17" s="378">
        <f t="shared" si="5"/>
        <v>47</v>
      </c>
      <c r="Y17" s="378">
        <f t="shared" si="5"/>
        <v>7</v>
      </c>
      <c r="Z17" s="500">
        <f t="shared" si="5"/>
        <v>0</v>
      </c>
      <c r="AA17" s="377">
        <f t="shared" si="5"/>
        <v>18114</v>
      </c>
      <c r="AB17" s="378">
        <f t="shared" si="5"/>
        <v>15563</v>
      </c>
      <c r="AC17" s="378">
        <f t="shared" si="5"/>
        <v>12849</v>
      </c>
      <c r="AD17" s="500">
        <f t="shared" si="5"/>
        <v>14302</v>
      </c>
    </row>
    <row r="18" spans="1:30" s="515" customFormat="1" ht="22.5" customHeight="1">
      <c r="A18" s="499" t="s">
        <v>1023</v>
      </c>
      <c r="B18" s="350" t="s">
        <v>892</v>
      </c>
      <c r="C18" s="378">
        <v>7229</v>
      </c>
      <c r="D18" s="378">
        <v>6455</v>
      </c>
      <c r="E18" s="378">
        <v>4956</v>
      </c>
      <c r="F18" s="500">
        <v>7434</v>
      </c>
      <c r="G18" s="378">
        <v>1094</v>
      </c>
      <c r="H18" s="378">
        <v>1196</v>
      </c>
      <c r="I18" s="378">
        <v>1047</v>
      </c>
      <c r="J18" s="500">
        <v>235</v>
      </c>
      <c r="K18" s="378">
        <v>541</v>
      </c>
      <c r="L18" s="378">
        <v>460</v>
      </c>
      <c r="M18" s="378">
        <v>351</v>
      </c>
      <c r="N18" s="500">
        <v>884</v>
      </c>
      <c r="O18" s="378">
        <v>1032</v>
      </c>
      <c r="P18" s="378">
        <v>984</v>
      </c>
      <c r="Q18" s="378">
        <v>831</v>
      </c>
      <c r="R18" s="500">
        <v>823</v>
      </c>
      <c r="S18" s="378">
        <v>236</v>
      </c>
      <c r="T18" s="378">
        <v>145</v>
      </c>
      <c r="U18" s="378">
        <v>76</v>
      </c>
      <c r="V18" s="500">
        <v>437</v>
      </c>
      <c r="W18" s="378">
        <v>4</v>
      </c>
      <c r="X18" s="378"/>
      <c r="Y18" s="378"/>
      <c r="Z18" s="500"/>
      <c r="AA18" s="377">
        <f>+W18+S18+O18+K18+G18+C18</f>
        <v>10136</v>
      </c>
      <c r="AB18" s="378">
        <f>+X18+T18+P18+L18+H18+D18</f>
        <v>9240</v>
      </c>
      <c r="AC18" s="378">
        <f>+Y18+U18+Q18+M18+I18+E18</f>
        <v>7261</v>
      </c>
      <c r="AD18" s="500">
        <f>+Z18+V18+R18+N18+J18+F18</f>
        <v>9813</v>
      </c>
    </row>
    <row r="19" spans="1:30" s="515" customFormat="1" ht="22.5" customHeight="1">
      <c r="A19" s="499"/>
      <c r="B19" s="303" t="s">
        <v>1361</v>
      </c>
      <c r="C19" s="378"/>
      <c r="D19" s="378">
        <v>855</v>
      </c>
      <c r="E19" s="378">
        <v>739</v>
      </c>
      <c r="F19" s="500">
        <v>729</v>
      </c>
      <c r="G19" s="378"/>
      <c r="H19" s="378">
        <v>179</v>
      </c>
      <c r="I19" s="378">
        <v>149</v>
      </c>
      <c r="J19" s="500">
        <v>105</v>
      </c>
      <c r="K19" s="378"/>
      <c r="L19" s="378">
        <v>35</v>
      </c>
      <c r="M19" s="378">
        <v>22</v>
      </c>
      <c r="N19" s="500">
        <v>50</v>
      </c>
      <c r="O19" s="378"/>
      <c r="P19" s="378">
        <v>132</v>
      </c>
      <c r="Q19" s="378">
        <v>128</v>
      </c>
      <c r="R19" s="500">
        <v>152</v>
      </c>
      <c r="S19" s="378"/>
      <c r="T19" s="378"/>
      <c r="U19" s="378"/>
      <c r="V19" s="500"/>
      <c r="W19" s="378"/>
      <c r="X19" s="378"/>
      <c r="Y19" s="378"/>
      <c r="Z19" s="500">
        <v>14</v>
      </c>
      <c r="AA19" s="377"/>
      <c r="AB19" s="378">
        <f>+X19+T19+P19+L19+H19+D19</f>
        <v>1201</v>
      </c>
      <c r="AC19" s="378">
        <f>+Y19+U19+Q19+M19+I19+E19</f>
        <v>1038</v>
      </c>
      <c r="AD19" s="500">
        <f>+Z19+V19+R19+N19+J19+F19</f>
        <v>1050</v>
      </c>
    </row>
    <row r="20" spans="1:30" s="515" customFormat="1" ht="22.5" customHeight="1">
      <c r="A20" s="499"/>
      <c r="B20" s="350" t="s">
        <v>690</v>
      </c>
      <c r="C20" s="377">
        <f t="shared" ref="C20:D20" si="6">SUM(C18:C19)</f>
        <v>7229</v>
      </c>
      <c r="D20" s="378">
        <f t="shared" si="6"/>
        <v>7310</v>
      </c>
      <c r="E20" s="378">
        <f>SUM(E18:E19)</f>
        <v>5695</v>
      </c>
      <c r="F20" s="500">
        <f>SUM(F18:F19)</f>
        <v>8163</v>
      </c>
      <c r="G20" s="377">
        <f t="shared" ref="G20:AD20" si="7">SUM(G18:G19)</f>
        <v>1094</v>
      </c>
      <c r="H20" s="378">
        <f t="shared" si="7"/>
        <v>1375</v>
      </c>
      <c r="I20" s="378">
        <f t="shared" si="7"/>
        <v>1196</v>
      </c>
      <c r="J20" s="500">
        <f t="shared" si="7"/>
        <v>340</v>
      </c>
      <c r="K20" s="377">
        <f t="shared" si="7"/>
        <v>541</v>
      </c>
      <c r="L20" s="378">
        <f t="shared" si="7"/>
        <v>495</v>
      </c>
      <c r="M20" s="378">
        <f t="shared" si="7"/>
        <v>373</v>
      </c>
      <c r="N20" s="500">
        <f t="shared" si="7"/>
        <v>934</v>
      </c>
      <c r="O20" s="377">
        <f t="shared" si="7"/>
        <v>1032</v>
      </c>
      <c r="P20" s="378">
        <f t="shared" si="7"/>
        <v>1116</v>
      </c>
      <c r="Q20" s="378">
        <f t="shared" si="7"/>
        <v>959</v>
      </c>
      <c r="R20" s="500">
        <f t="shared" si="7"/>
        <v>975</v>
      </c>
      <c r="S20" s="377">
        <f t="shared" si="7"/>
        <v>236</v>
      </c>
      <c r="T20" s="378">
        <f t="shared" si="7"/>
        <v>145</v>
      </c>
      <c r="U20" s="378">
        <f t="shared" si="7"/>
        <v>76</v>
      </c>
      <c r="V20" s="500">
        <f t="shared" si="7"/>
        <v>437</v>
      </c>
      <c r="W20" s="377">
        <f t="shared" si="7"/>
        <v>4</v>
      </c>
      <c r="X20" s="378">
        <f t="shared" si="7"/>
        <v>0</v>
      </c>
      <c r="Y20" s="378">
        <f t="shared" si="7"/>
        <v>0</v>
      </c>
      <c r="Z20" s="500">
        <f t="shared" si="7"/>
        <v>14</v>
      </c>
      <c r="AA20" s="377">
        <f t="shared" si="7"/>
        <v>10136</v>
      </c>
      <c r="AB20" s="378">
        <f t="shared" si="7"/>
        <v>10441</v>
      </c>
      <c r="AC20" s="378">
        <f t="shared" si="7"/>
        <v>8299</v>
      </c>
      <c r="AD20" s="500">
        <f t="shared" si="7"/>
        <v>10863</v>
      </c>
    </row>
    <row r="21" spans="1:30" s="515" customFormat="1" ht="22.5" customHeight="1">
      <c r="A21" s="499" t="s">
        <v>578</v>
      </c>
      <c r="B21" s="350" t="s">
        <v>893</v>
      </c>
      <c r="C21" s="378">
        <v>7952</v>
      </c>
      <c r="D21" s="378">
        <v>9025</v>
      </c>
      <c r="E21" s="378">
        <v>10092</v>
      </c>
      <c r="F21" s="500">
        <v>7865</v>
      </c>
      <c r="G21" s="378">
        <v>128</v>
      </c>
      <c r="H21" s="378">
        <v>248</v>
      </c>
      <c r="I21" s="378">
        <v>244</v>
      </c>
      <c r="J21" s="500">
        <v>833</v>
      </c>
      <c r="K21" s="378">
        <v>347</v>
      </c>
      <c r="L21" s="378">
        <v>170</v>
      </c>
      <c r="M21" s="378">
        <v>779</v>
      </c>
      <c r="N21" s="500">
        <v>914</v>
      </c>
      <c r="O21" s="378">
        <v>1192</v>
      </c>
      <c r="P21" s="378">
        <v>1436</v>
      </c>
      <c r="Q21" s="378">
        <v>1428</v>
      </c>
      <c r="R21" s="500">
        <v>1232</v>
      </c>
      <c r="S21" s="378">
        <v>237</v>
      </c>
      <c r="T21" s="378">
        <v>286</v>
      </c>
      <c r="U21" s="378">
        <v>300</v>
      </c>
      <c r="V21" s="500">
        <v>430</v>
      </c>
      <c r="W21" s="378">
        <v>23</v>
      </c>
      <c r="X21" s="378"/>
      <c r="Y21" s="378">
        <v>84</v>
      </c>
      <c r="Z21" s="500">
        <v>57</v>
      </c>
      <c r="AA21" s="377">
        <f>+W21+S21+O21+K21+G21+C21</f>
        <v>9879</v>
      </c>
      <c r="AB21" s="378">
        <f>+X21+T21+P21+L21+H21+D21</f>
        <v>11165</v>
      </c>
      <c r="AC21" s="378">
        <f>+Y21+U21+Q21+M21+I21+E21</f>
        <v>12927</v>
      </c>
      <c r="AD21" s="500">
        <f>+Z21+V21+R21+N21+J21+F21</f>
        <v>11331</v>
      </c>
    </row>
    <row r="22" spans="1:30" s="515" customFormat="1" ht="22.5" customHeight="1">
      <c r="A22" s="509" t="s">
        <v>1024</v>
      </c>
      <c r="B22" s="1068"/>
      <c r="C22" s="507">
        <f t="shared" ref="C22:D22" si="8">+C13+C17+C20+C21</f>
        <v>55295</v>
      </c>
      <c r="D22" s="507">
        <f t="shared" si="8"/>
        <v>57179</v>
      </c>
      <c r="E22" s="507">
        <f>+E13+E17+E20+E21</f>
        <v>47355</v>
      </c>
      <c r="F22" s="508">
        <f>+F13+F17+F20+F21</f>
        <v>49213</v>
      </c>
      <c r="G22" s="507">
        <f t="shared" ref="G22:AD22" si="9">+G13+G17+G20+G21</f>
        <v>6795</v>
      </c>
      <c r="H22" s="507">
        <f t="shared" si="9"/>
        <v>7163</v>
      </c>
      <c r="I22" s="507">
        <f t="shared" si="9"/>
        <v>6961</v>
      </c>
      <c r="J22" s="508">
        <f t="shared" si="9"/>
        <v>5097</v>
      </c>
      <c r="K22" s="507">
        <f t="shared" si="9"/>
        <v>3592</v>
      </c>
      <c r="L22" s="507">
        <f t="shared" si="9"/>
        <v>3278</v>
      </c>
      <c r="M22" s="507">
        <f t="shared" si="9"/>
        <v>3356</v>
      </c>
      <c r="N22" s="508">
        <f t="shared" si="9"/>
        <v>3409</v>
      </c>
      <c r="O22" s="507">
        <f t="shared" si="9"/>
        <v>10112</v>
      </c>
      <c r="P22" s="507">
        <f t="shared" si="9"/>
        <v>10648</v>
      </c>
      <c r="Q22" s="507">
        <f t="shared" si="9"/>
        <v>9981</v>
      </c>
      <c r="R22" s="508">
        <f t="shared" si="9"/>
        <v>9012</v>
      </c>
      <c r="S22" s="507">
        <f t="shared" si="9"/>
        <v>3083</v>
      </c>
      <c r="T22" s="507">
        <f t="shared" si="9"/>
        <v>1762</v>
      </c>
      <c r="U22" s="507">
        <f t="shared" si="9"/>
        <v>1893</v>
      </c>
      <c r="V22" s="508">
        <f t="shared" si="9"/>
        <v>2821</v>
      </c>
      <c r="W22" s="507">
        <f t="shared" si="9"/>
        <v>734</v>
      </c>
      <c r="X22" s="507">
        <f t="shared" si="9"/>
        <v>910</v>
      </c>
      <c r="Y22" s="507">
        <f t="shared" si="9"/>
        <v>483</v>
      </c>
      <c r="Z22" s="508">
        <f t="shared" si="9"/>
        <v>158</v>
      </c>
      <c r="AA22" s="507">
        <f t="shared" si="9"/>
        <v>79611</v>
      </c>
      <c r="AB22" s="507">
        <f t="shared" si="9"/>
        <v>80940</v>
      </c>
      <c r="AC22" s="507">
        <f t="shared" si="9"/>
        <v>70029</v>
      </c>
      <c r="AD22" s="508">
        <f t="shared" si="9"/>
        <v>69710</v>
      </c>
    </row>
    <row r="23" spans="1:30" s="515" customFormat="1" ht="22.5" customHeight="1">
      <c r="A23" s="499" t="s">
        <v>1025</v>
      </c>
      <c r="B23" s="350" t="s">
        <v>895</v>
      </c>
      <c r="C23" s="378">
        <v>15429</v>
      </c>
      <c r="D23" s="378">
        <v>14492</v>
      </c>
      <c r="E23" s="378">
        <v>13833</v>
      </c>
      <c r="F23" s="500">
        <v>13473</v>
      </c>
      <c r="G23" s="378">
        <v>2073</v>
      </c>
      <c r="H23" s="378">
        <v>2012</v>
      </c>
      <c r="I23" s="378">
        <v>1928</v>
      </c>
      <c r="J23" s="500">
        <v>1090</v>
      </c>
      <c r="K23" s="378">
        <v>904</v>
      </c>
      <c r="L23" s="378">
        <v>801</v>
      </c>
      <c r="M23" s="378">
        <v>933</v>
      </c>
      <c r="N23" s="500">
        <v>872</v>
      </c>
      <c r="O23" s="378">
        <v>3461</v>
      </c>
      <c r="P23" s="378">
        <v>3628</v>
      </c>
      <c r="Q23" s="378">
        <v>2934</v>
      </c>
      <c r="R23" s="500">
        <v>2611</v>
      </c>
      <c r="S23" s="378">
        <v>482</v>
      </c>
      <c r="T23" s="378">
        <v>710</v>
      </c>
      <c r="U23" s="378">
        <v>484</v>
      </c>
      <c r="V23" s="500">
        <v>592</v>
      </c>
      <c r="W23" s="378"/>
      <c r="X23" s="378"/>
      <c r="Y23" s="378"/>
      <c r="Z23" s="500"/>
      <c r="AA23" s="377">
        <f t="shared" ref="AA23:AB26" si="10">+W23+S23+O23+K23+G23+C23</f>
        <v>22349</v>
      </c>
      <c r="AB23" s="378">
        <f t="shared" si="10"/>
        <v>21643</v>
      </c>
      <c r="AC23" s="378">
        <f t="shared" ref="AC23:AD26" si="11">+Y23+U23+Q23+M23+I23+E23</f>
        <v>20112</v>
      </c>
      <c r="AD23" s="500">
        <f t="shared" si="11"/>
        <v>18638</v>
      </c>
    </row>
    <row r="24" spans="1:30" s="515" customFormat="1" ht="22.5" customHeight="1">
      <c r="A24" s="499"/>
      <c r="B24" s="350" t="s">
        <v>896</v>
      </c>
      <c r="C24" s="378">
        <v>17306</v>
      </c>
      <c r="D24" s="378">
        <v>18389</v>
      </c>
      <c r="E24" s="378">
        <v>18981</v>
      </c>
      <c r="F24" s="500">
        <v>20959</v>
      </c>
      <c r="G24" s="378">
        <v>2342</v>
      </c>
      <c r="H24" s="378">
        <v>1985</v>
      </c>
      <c r="I24" s="378">
        <v>1671</v>
      </c>
      <c r="J24" s="500">
        <v>1499</v>
      </c>
      <c r="K24" s="378">
        <v>9085</v>
      </c>
      <c r="L24" s="378">
        <v>8681</v>
      </c>
      <c r="M24" s="378">
        <v>8645</v>
      </c>
      <c r="N24" s="500">
        <v>1088</v>
      </c>
      <c r="O24" s="378">
        <v>1908</v>
      </c>
      <c r="P24" s="378">
        <v>1094</v>
      </c>
      <c r="Q24" s="378">
        <v>2012</v>
      </c>
      <c r="R24" s="500">
        <v>2518</v>
      </c>
      <c r="S24" s="378">
        <v>1029</v>
      </c>
      <c r="T24" s="378">
        <v>1109</v>
      </c>
      <c r="U24" s="378">
        <v>1478</v>
      </c>
      <c r="V24" s="500">
        <v>1595</v>
      </c>
      <c r="W24" s="378">
        <v>168</v>
      </c>
      <c r="X24" s="378">
        <v>147</v>
      </c>
      <c r="Y24" s="378">
        <v>115</v>
      </c>
      <c r="Z24" s="500">
        <v>75</v>
      </c>
      <c r="AA24" s="377">
        <f t="shared" si="10"/>
        <v>31838</v>
      </c>
      <c r="AB24" s="378">
        <f t="shared" si="10"/>
        <v>31405</v>
      </c>
      <c r="AC24" s="378">
        <f t="shared" si="11"/>
        <v>32902</v>
      </c>
      <c r="AD24" s="500">
        <f t="shared" si="11"/>
        <v>27734</v>
      </c>
    </row>
    <row r="25" spans="1:30" s="515" customFormat="1" ht="22.5" customHeight="1">
      <c r="A25" s="499"/>
      <c r="B25" s="350" t="s">
        <v>586</v>
      </c>
      <c r="C25" s="378">
        <v>1225</v>
      </c>
      <c r="D25" s="378">
        <v>1786</v>
      </c>
      <c r="E25" s="378">
        <v>1938</v>
      </c>
      <c r="F25" s="500">
        <v>2192</v>
      </c>
      <c r="G25" s="378">
        <v>578</v>
      </c>
      <c r="H25" s="378">
        <v>530</v>
      </c>
      <c r="I25" s="378">
        <v>470</v>
      </c>
      <c r="J25" s="500">
        <v>220</v>
      </c>
      <c r="K25" s="378">
        <v>716</v>
      </c>
      <c r="L25" s="378">
        <v>817</v>
      </c>
      <c r="M25" s="378">
        <v>752</v>
      </c>
      <c r="N25" s="500">
        <v>140</v>
      </c>
      <c r="O25" s="378"/>
      <c r="P25" s="378">
        <v>238</v>
      </c>
      <c r="Q25" s="378">
        <v>339</v>
      </c>
      <c r="R25" s="500">
        <v>381</v>
      </c>
      <c r="S25" s="378"/>
      <c r="T25" s="378">
        <v>45</v>
      </c>
      <c r="U25" s="378">
        <v>89</v>
      </c>
      <c r="V25" s="500">
        <v>65</v>
      </c>
      <c r="W25" s="378"/>
      <c r="X25" s="378">
        <v>17</v>
      </c>
      <c r="Y25" s="378"/>
      <c r="Z25" s="500"/>
      <c r="AA25" s="377">
        <f t="shared" si="10"/>
        <v>2519</v>
      </c>
      <c r="AB25" s="378">
        <f t="shared" si="10"/>
        <v>3433</v>
      </c>
      <c r="AC25" s="378">
        <f t="shared" si="11"/>
        <v>3588</v>
      </c>
      <c r="AD25" s="500">
        <f t="shared" si="11"/>
        <v>2998</v>
      </c>
    </row>
    <row r="26" spans="1:30" s="515" customFormat="1" ht="22.5" customHeight="1">
      <c r="A26" s="499"/>
      <c r="B26" s="350" t="s">
        <v>897</v>
      </c>
      <c r="C26" s="378">
        <v>4044</v>
      </c>
      <c r="D26" s="378">
        <v>4002</v>
      </c>
      <c r="E26" s="378">
        <v>4352</v>
      </c>
      <c r="F26" s="500">
        <v>4888</v>
      </c>
      <c r="G26" s="378">
        <v>284</v>
      </c>
      <c r="H26" s="378">
        <v>401</v>
      </c>
      <c r="I26" s="378">
        <v>439</v>
      </c>
      <c r="J26" s="500">
        <v>438</v>
      </c>
      <c r="K26" s="378">
        <v>237</v>
      </c>
      <c r="L26" s="378">
        <v>244</v>
      </c>
      <c r="M26" s="378">
        <v>417</v>
      </c>
      <c r="N26" s="500">
        <v>92</v>
      </c>
      <c r="O26" s="378">
        <v>435</v>
      </c>
      <c r="P26" s="378">
        <v>528</v>
      </c>
      <c r="Q26" s="378">
        <v>708</v>
      </c>
      <c r="R26" s="500">
        <v>873</v>
      </c>
      <c r="S26" s="378">
        <v>192</v>
      </c>
      <c r="T26" s="378">
        <v>279</v>
      </c>
      <c r="U26" s="378">
        <v>303</v>
      </c>
      <c r="V26" s="500">
        <v>351</v>
      </c>
      <c r="W26" s="378">
        <v>41</v>
      </c>
      <c r="X26" s="378">
        <v>18</v>
      </c>
      <c r="Y26" s="378">
        <v>78</v>
      </c>
      <c r="Z26" s="500"/>
      <c r="AA26" s="377">
        <f t="shared" si="10"/>
        <v>5233</v>
      </c>
      <c r="AB26" s="378">
        <f t="shared" si="10"/>
        <v>5472</v>
      </c>
      <c r="AC26" s="378">
        <f t="shared" si="11"/>
        <v>6297</v>
      </c>
      <c r="AD26" s="500">
        <f t="shared" si="11"/>
        <v>6642</v>
      </c>
    </row>
    <row r="27" spans="1:30" s="515" customFormat="1" ht="22.5" customHeight="1">
      <c r="A27" s="499"/>
      <c r="B27" s="350" t="s">
        <v>690</v>
      </c>
      <c r="C27" s="377">
        <f t="shared" ref="C27:D27" si="12">SUM(C23:C26)</f>
        <v>38004</v>
      </c>
      <c r="D27" s="378">
        <f t="shared" si="12"/>
        <v>38669</v>
      </c>
      <c r="E27" s="378">
        <f>SUM(E23:E26)</f>
        <v>39104</v>
      </c>
      <c r="F27" s="500">
        <f>SUM(F23:F26)</f>
        <v>41512</v>
      </c>
      <c r="G27" s="377">
        <f t="shared" ref="G27:AD27" si="13">SUM(G23:G26)</f>
        <v>5277</v>
      </c>
      <c r="H27" s="378">
        <f t="shared" si="13"/>
        <v>4928</v>
      </c>
      <c r="I27" s="378">
        <f t="shared" si="13"/>
        <v>4508</v>
      </c>
      <c r="J27" s="500">
        <f t="shared" si="13"/>
        <v>3247</v>
      </c>
      <c r="K27" s="377">
        <f t="shared" si="13"/>
        <v>10942</v>
      </c>
      <c r="L27" s="378">
        <f t="shared" si="13"/>
        <v>10543</v>
      </c>
      <c r="M27" s="378">
        <f t="shared" si="13"/>
        <v>10747</v>
      </c>
      <c r="N27" s="500">
        <f t="shared" si="13"/>
        <v>2192</v>
      </c>
      <c r="O27" s="377">
        <f t="shared" si="13"/>
        <v>5804</v>
      </c>
      <c r="P27" s="378">
        <f t="shared" si="13"/>
        <v>5488</v>
      </c>
      <c r="Q27" s="378">
        <f t="shared" si="13"/>
        <v>5993</v>
      </c>
      <c r="R27" s="500">
        <f t="shared" si="13"/>
        <v>6383</v>
      </c>
      <c r="S27" s="377">
        <f t="shared" si="13"/>
        <v>1703</v>
      </c>
      <c r="T27" s="378">
        <f t="shared" si="13"/>
        <v>2143</v>
      </c>
      <c r="U27" s="378">
        <f t="shared" si="13"/>
        <v>2354</v>
      </c>
      <c r="V27" s="500">
        <f t="shared" si="13"/>
        <v>2603</v>
      </c>
      <c r="W27" s="377">
        <f t="shared" si="13"/>
        <v>209</v>
      </c>
      <c r="X27" s="378">
        <f t="shared" si="13"/>
        <v>182</v>
      </c>
      <c r="Y27" s="378">
        <f t="shared" si="13"/>
        <v>193</v>
      </c>
      <c r="Z27" s="500">
        <f t="shared" si="13"/>
        <v>75</v>
      </c>
      <c r="AA27" s="377">
        <f t="shared" si="13"/>
        <v>61939</v>
      </c>
      <c r="AB27" s="378">
        <f t="shared" si="13"/>
        <v>61953</v>
      </c>
      <c r="AC27" s="378">
        <f t="shared" si="13"/>
        <v>62899</v>
      </c>
      <c r="AD27" s="500">
        <f t="shared" si="13"/>
        <v>56012</v>
      </c>
    </row>
    <row r="28" spans="1:30" s="515" customFormat="1" ht="22.5" customHeight="1">
      <c r="A28" s="499" t="s">
        <v>581</v>
      </c>
      <c r="B28" s="350" t="s">
        <v>898</v>
      </c>
      <c r="C28" s="378">
        <v>13285</v>
      </c>
      <c r="D28" s="378">
        <v>12422</v>
      </c>
      <c r="E28" s="378">
        <v>9714</v>
      </c>
      <c r="F28" s="500">
        <v>10779</v>
      </c>
      <c r="G28" s="378">
        <v>951</v>
      </c>
      <c r="H28" s="378">
        <v>978</v>
      </c>
      <c r="I28" s="378">
        <v>1914</v>
      </c>
      <c r="J28" s="500">
        <v>1217</v>
      </c>
      <c r="K28" s="378">
        <v>836</v>
      </c>
      <c r="L28" s="378">
        <v>632</v>
      </c>
      <c r="M28" s="378">
        <v>669</v>
      </c>
      <c r="N28" s="500">
        <v>700</v>
      </c>
      <c r="O28" s="378">
        <v>1778</v>
      </c>
      <c r="P28" s="378">
        <v>1628</v>
      </c>
      <c r="Q28" s="378">
        <v>1689</v>
      </c>
      <c r="R28" s="500">
        <v>1811</v>
      </c>
      <c r="S28" s="378">
        <v>2053</v>
      </c>
      <c r="T28" s="378">
        <v>1066</v>
      </c>
      <c r="U28" s="378">
        <v>635</v>
      </c>
      <c r="V28" s="500">
        <v>652</v>
      </c>
      <c r="W28" s="378">
        <v>824</v>
      </c>
      <c r="X28" s="378">
        <v>188</v>
      </c>
      <c r="Y28" s="378">
        <v>216</v>
      </c>
      <c r="Z28" s="500">
        <v>300</v>
      </c>
      <c r="AA28" s="377">
        <f>+W28+S28+O28+K28+G28+C28</f>
        <v>19727</v>
      </c>
      <c r="AB28" s="378">
        <f>+X28+T28+P28+L28+H28+D28</f>
        <v>16914</v>
      </c>
      <c r="AC28" s="378">
        <f>+Y28+U28+Q28+M28+I28+E28</f>
        <v>14837</v>
      </c>
      <c r="AD28" s="500">
        <f>+Z28+V28+R28+N28+J28+F28</f>
        <v>15459</v>
      </c>
    </row>
    <row r="29" spans="1:30" s="515" customFormat="1" ht="22.5" customHeight="1">
      <c r="A29" s="499"/>
      <c r="B29" s="303" t="s">
        <v>1351</v>
      </c>
      <c r="C29" s="378"/>
      <c r="D29" s="378">
        <v>1764</v>
      </c>
      <c r="E29" s="378">
        <v>1095</v>
      </c>
      <c r="F29" s="500">
        <v>1337</v>
      </c>
      <c r="G29" s="378"/>
      <c r="H29" s="378">
        <v>5</v>
      </c>
      <c r="I29" s="378">
        <v>370</v>
      </c>
      <c r="J29" s="500">
        <v>200</v>
      </c>
      <c r="K29" s="378"/>
      <c r="L29" s="378">
        <v>35</v>
      </c>
      <c r="M29" s="378">
        <v>57</v>
      </c>
      <c r="N29" s="500">
        <v>49</v>
      </c>
      <c r="O29" s="378"/>
      <c r="P29" s="378">
        <v>323</v>
      </c>
      <c r="Q29" s="378">
        <v>341</v>
      </c>
      <c r="R29" s="500">
        <v>305</v>
      </c>
      <c r="S29" s="378"/>
      <c r="T29" s="378"/>
      <c r="U29" s="378">
        <v>6</v>
      </c>
      <c r="V29" s="500"/>
      <c r="W29" s="378"/>
      <c r="X29" s="378">
        <v>73</v>
      </c>
      <c r="Y29" s="378">
        <v>103</v>
      </c>
      <c r="Z29" s="500">
        <v>453</v>
      </c>
      <c r="AA29" s="377"/>
      <c r="AB29" s="378">
        <f>+X29+T29+P29+L29+H29+D29</f>
        <v>2200</v>
      </c>
      <c r="AC29" s="378">
        <f>+Y29+U29+Q29+M29+I29+E29</f>
        <v>1972</v>
      </c>
      <c r="AD29" s="500">
        <f>+Z29+V29+R29+N29+J29+F29</f>
        <v>2344</v>
      </c>
    </row>
    <row r="30" spans="1:30" s="515" customFormat="1" ht="22.5" customHeight="1">
      <c r="A30" s="499"/>
      <c r="B30" s="303" t="s">
        <v>1478</v>
      </c>
      <c r="C30" s="378"/>
      <c r="D30" s="378"/>
      <c r="E30" s="378"/>
      <c r="F30" s="500"/>
      <c r="G30" s="378"/>
      <c r="H30" s="378"/>
      <c r="I30" s="378"/>
      <c r="J30" s="500">
        <v>4</v>
      </c>
      <c r="K30" s="378"/>
      <c r="L30" s="378"/>
      <c r="M30" s="378"/>
      <c r="N30" s="500"/>
      <c r="O30" s="378"/>
      <c r="P30" s="378"/>
      <c r="Q30" s="378"/>
      <c r="R30" s="500">
        <v>5</v>
      </c>
      <c r="S30" s="378"/>
      <c r="T30" s="378"/>
      <c r="U30" s="378"/>
      <c r="V30" s="500">
        <v>605</v>
      </c>
      <c r="W30" s="378"/>
      <c r="X30" s="378"/>
      <c r="Y30" s="378"/>
      <c r="Z30" s="500"/>
      <c r="AA30" s="377"/>
      <c r="AB30" s="378"/>
      <c r="AC30" s="378"/>
      <c r="AD30" s="500">
        <f>+Z30+V30+R30+N30+J30+F30</f>
        <v>614</v>
      </c>
    </row>
    <row r="31" spans="1:30" s="515" customFormat="1" ht="22.5" customHeight="1">
      <c r="A31" s="499"/>
      <c r="B31" s="350" t="s">
        <v>1026</v>
      </c>
      <c r="C31" s="378">
        <v>177</v>
      </c>
      <c r="D31" s="378">
        <v>283</v>
      </c>
      <c r="E31" s="378">
        <v>379</v>
      </c>
      <c r="F31" s="500">
        <v>345</v>
      </c>
      <c r="G31" s="378"/>
      <c r="H31" s="378"/>
      <c r="I31" s="378"/>
      <c r="J31" s="500"/>
      <c r="K31" s="378"/>
      <c r="L31" s="378"/>
      <c r="M31" s="378"/>
      <c r="N31" s="500"/>
      <c r="O31" s="378">
        <v>25</v>
      </c>
      <c r="P31" s="378"/>
      <c r="Q31" s="378"/>
      <c r="R31" s="500"/>
      <c r="S31" s="378"/>
      <c r="T31" s="378"/>
      <c r="U31" s="378"/>
      <c r="V31" s="500"/>
      <c r="W31" s="378"/>
      <c r="X31" s="378"/>
      <c r="Y31" s="378"/>
      <c r="Z31" s="500"/>
      <c r="AA31" s="377">
        <f>+W31+S31+O31+K31+G31+C31</f>
        <v>202</v>
      </c>
      <c r="AB31" s="378">
        <f>+X31+T31+P31+L31+H31+D31</f>
        <v>283</v>
      </c>
      <c r="AC31" s="378">
        <f>+Y31+U31+Q31+M31+I31+E31</f>
        <v>379</v>
      </c>
      <c r="AD31" s="500">
        <f>+Z31+V31+R31+N31+J31+F31</f>
        <v>345</v>
      </c>
    </row>
    <row r="32" spans="1:30" s="515" customFormat="1" ht="22.5" customHeight="1">
      <c r="A32" s="499"/>
      <c r="B32" s="350" t="s">
        <v>690</v>
      </c>
      <c r="C32" s="377">
        <f t="shared" ref="C32:D32" si="14">SUM(C28:C31)</f>
        <v>13462</v>
      </c>
      <c r="D32" s="378">
        <f t="shared" si="14"/>
        <v>14469</v>
      </c>
      <c r="E32" s="378">
        <f>SUM(E28:E31)</f>
        <v>11188</v>
      </c>
      <c r="F32" s="500">
        <f>SUM(F28:F31)</f>
        <v>12461</v>
      </c>
      <c r="G32" s="377">
        <f t="shared" ref="G32:AD32" si="15">SUM(G28:G31)</f>
        <v>951</v>
      </c>
      <c r="H32" s="378">
        <f t="shared" si="15"/>
        <v>983</v>
      </c>
      <c r="I32" s="378">
        <f t="shared" si="15"/>
        <v>2284</v>
      </c>
      <c r="J32" s="500">
        <f t="shared" si="15"/>
        <v>1421</v>
      </c>
      <c r="K32" s="377">
        <f t="shared" si="15"/>
        <v>836</v>
      </c>
      <c r="L32" s="378">
        <f t="shared" si="15"/>
        <v>667</v>
      </c>
      <c r="M32" s="378">
        <f t="shared" si="15"/>
        <v>726</v>
      </c>
      <c r="N32" s="500">
        <f t="shared" si="15"/>
        <v>749</v>
      </c>
      <c r="O32" s="377">
        <f t="shared" si="15"/>
        <v>1803</v>
      </c>
      <c r="P32" s="378">
        <f t="shared" si="15"/>
        <v>1951</v>
      </c>
      <c r="Q32" s="378">
        <f t="shared" si="15"/>
        <v>2030</v>
      </c>
      <c r="R32" s="500">
        <f t="shared" si="15"/>
        <v>2121</v>
      </c>
      <c r="S32" s="377">
        <f t="shared" si="15"/>
        <v>2053</v>
      </c>
      <c r="T32" s="378">
        <f t="shared" si="15"/>
        <v>1066</v>
      </c>
      <c r="U32" s="378">
        <f t="shared" si="15"/>
        <v>641</v>
      </c>
      <c r="V32" s="500">
        <f t="shared" si="15"/>
        <v>1257</v>
      </c>
      <c r="W32" s="377">
        <f t="shared" si="15"/>
        <v>824</v>
      </c>
      <c r="X32" s="378">
        <f t="shared" si="15"/>
        <v>261</v>
      </c>
      <c r="Y32" s="378">
        <f t="shared" si="15"/>
        <v>319</v>
      </c>
      <c r="Z32" s="500">
        <f t="shared" si="15"/>
        <v>753</v>
      </c>
      <c r="AA32" s="377">
        <f t="shared" si="15"/>
        <v>19929</v>
      </c>
      <c r="AB32" s="378">
        <f t="shared" si="15"/>
        <v>19397</v>
      </c>
      <c r="AC32" s="378">
        <f t="shared" si="15"/>
        <v>17188</v>
      </c>
      <c r="AD32" s="500">
        <f t="shared" si="15"/>
        <v>18762</v>
      </c>
    </row>
    <row r="33" spans="1:46" s="515" customFormat="1" ht="22.5" customHeight="1">
      <c r="A33" s="499" t="s">
        <v>582</v>
      </c>
      <c r="B33" s="350" t="s">
        <v>698</v>
      </c>
      <c r="C33" s="378">
        <v>7810</v>
      </c>
      <c r="D33" s="378">
        <v>7241</v>
      </c>
      <c r="E33" s="378">
        <v>6826</v>
      </c>
      <c r="F33" s="500">
        <v>8584</v>
      </c>
      <c r="G33" s="378">
        <v>1326</v>
      </c>
      <c r="H33" s="378">
        <v>1144</v>
      </c>
      <c r="I33" s="378">
        <v>1786</v>
      </c>
      <c r="J33" s="500">
        <v>969</v>
      </c>
      <c r="K33" s="378">
        <v>632</v>
      </c>
      <c r="L33" s="378">
        <v>1052</v>
      </c>
      <c r="M33" s="378">
        <v>832</v>
      </c>
      <c r="N33" s="500">
        <v>895</v>
      </c>
      <c r="O33" s="378">
        <v>1113</v>
      </c>
      <c r="P33" s="378">
        <v>1044</v>
      </c>
      <c r="Q33" s="378">
        <v>866</v>
      </c>
      <c r="R33" s="500">
        <v>960</v>
      </c>
      <c r="S33" s="378">
        <v>338</v>
      </c>
      <c r="T33" s="378">
        <v>213</v>
      </c>
      <c r="U33" s="378">
        <v>292</v>
      </c>
      <c r="V33" s="500">
        <v>318</v>
      </c>
      <c r="W33" s="378">
        <v>189</v>
      </c>
      <c r="X33" s="378">
        <v>102</v>
      </c>
      <c r="Y33" s="378">
        <v>189</v>
      </c>
      <c r="Z33" s="500">
        <v>188</v>
      </c>
      <c r="AA33" s="377">
        <f t="shared" ref="AA33:AB40" si="16">+W33+S33+O33+K33+G33+C33</f>
        <v>11408</v>
      </c>
      <c r="AB33" s="378">
        <f t="shared" si="16"/>
        <v>10796</v>
      </c>
      <c r="AC33" s="378">
        <f t="shared" ref="AB33:AC41" si="17">+Y33+U33+Q33+M33+I33+E33</f>
        <v>10791</v>
      </c>
      <c r="AD33" s="500">
        <f>+Z33+V33+R33+N33+J33+F33</f>
        <v>11914</v>
      </c>
    </row>
    <row r="34" spans="1:46" s="515" customFormat="1" ht="22.5" customHeight="1">
      <c r="A34" s="499"/>
      <c r="B34" s="350" t="s">
        <v>900</v>
      </c>
      <c r="C34" s="378">
        <v>1249</v>
      </c>
      <c r="D34" s="378">
        <v>1304</v>
      </c>
      <c r="E34" s="378">
        <v>1289</v>
      </c>
      <c r="F34" s="500">
        <v>1413</v>
      </c>
      <c r="G34" s="378">
        <v>258</v>
      </c>
      <c r="H34" s="378">
        <v>219</v>
      </c>
      <c r="I34" s="378">
        <v>228</v>
      </c>
      <c r="J34" s="500">
        <v>198</v>
      </c>
      <c r="K34" s="378">
        <v>123</v>
      </c>
      <c r="L34" s="378">
        <v>252</v>
      </c>
      <c r="M34" s="378">
        <v>152</v>
      </c>
      <c r="N34" s="500">
        <v>133</v>
      </c>
      <c r="O34" s="378">
        <v>180</v>
      </c>
      <c r="P34" s="378">
        <v>189</v>
      </c>
      <c r="Q34" s="378">
        <v>175</v>
      </c>
      <c r="R34" s="500">
        <v>148</v>
      </c>
      <c r="S34" s="378">
        <v>106</v>
      </c>
      <c r="T34" s="378">
        <v>70</v>
      </c>
      <c r="U34" s="378">
        <v>65</v>
      </c>
      <c r="V34" s="500">
        <v>100</v>
      </c>
      <c r="W34" s="378">
        <v>102</v>
      </c>
      <c r="X34" s="378">
        <v>27</v>
      </c>
      <c r="Y34" s="378">
        <v>121</v>
      </c>
      <c r="Z34" s="500">
        <v>45</v>
      </c>
      <c r="AA34" s="377">
        <f>+W34+S34+O34+K34+G34+C34</f>
        <v>2018</v>
      </c>
      <c r="AB34" s="378">
        <f>+X34+T34+P34+L34+H34+D34</f>
        <v>2061</v>
      </c>
      <c r="AC34" s="378">
        <f>+Y34+U34+Q34+M34+I34+E34</f>
        <v>2030</v>
      </c>
      <c r="AD34" s="500">
        <f>+Z34+V34+R34+N34+J34+F34</f>
        <v>2037</v>
      </c>
    </row>
    <row r="35" spans="1:46" s="515" customFormat="1" ht="22.5" customHeight="1">
      <c r="A35" s="499"/>
      <c r="B35" s="303" t="s">
        <v>1352</v>
      </c>
      <c r="C35" s="378"/>
      <c r="D35" s="378">
        <v>387</v>
      </c>
      <c r="E35" s="378">
        <v>382</v>
      </c>
      <c r="F35" s="500">
        <v>310</v>
      </c>
      <c r="G35" s="378"/>
      <c r="H35" s="378">
        <v>110</v>
      </c>
      <c r="I35" s="378">
        <v>133</v>
      </c>
      <c r="J35" s="500">
        <v>107</v>
      </c>
      <c r="K35" s="378"/>
      <c r="L35" s="378">
        <v>102</v>
      </c>
      <c r="M35" s="378">
        <v>92</v>
      </c>
      <c r="N35" s="500">
        <v>45</v>
      </c>
      <c r="O35" s="378"/>
      <c r="P35" s="378">
        <v>74</v>
      </c>
      <c r="Q35" s="378">
        <v>73</v>
      </c>
      <c r="R35" s="500">
        <v>78</v>
      </c>
      <c r="S35" s="378"/>
      <c r="T35" s="378">
        <v>23</v>
      </c>
      <c r="U35" s="378">
        <v>42</v>
      </c>
      <c r="V35" s="500">
        <v>31</v>
      </c>
      <c r="W35" s="378"/>
      <c r="X35" s="378">
        <v>13</v>
      </c>
      <c r="Y35" s="378">
        <v>19</v>
      </c>
      <c r="Z35" s="500">
        <v>21</v>
      </c>
      <c r="AA35" s="377"/>
      <c r="AB35" s="378">
        <f>+X35+T35+P35+L35+H35+D35</f>
        <v>709</v>
      </c>
      <c r="AC35" s="378">
        <f>+Y35+U35+Q35+M35+I35+E35</f>
        <v>741</v>
      </c>
      <c r="AD35" s="500">
        <f>+Z35+V35+R35+N35+J35+F35</f>
        <v>592</v>
      </c>
    </row>
    <row r="36" spans="1:46" s="515" customFormat="1" ht="22.5" customHeight="1">
      <c r="A36" s="499"/>
      <c r="B36" s="350" t="s">
        <v>690</v>
      </c>
      <c r="C36" s="377">
        <f>SUM(C33:C35)</f>
        <v>9059</v>
      </c>
      <c r="D36" s="378">
        <f t="shared" ref="D36:AD36" si="18">SUM(D33:D35)</f>
        <v>8932</v>
      </c>
      <c r="E36" s="378">
        <f t="shared" si="18"/>
        <v>8497</v>
      </c>
      <c r="F36" s="378">
        <f t="shared" si="18"/>
        <v>10307</v>
      </c>
      <c r="G36" s="377">
        <f t="shared" si="18"/>
        <v>1584</v>
      </c>
      <c r="H36" s="378">
        <f t="shared" si="18"/>
        <v>1473</v>
      </c>
      <c r="I36" s="378">
        <f t="shared" si="18"/>
        <v>2147</v>
      </c>
      <c r="J36" s="378">
        <f t="shared" si="18"/>
        <v>1274</v>
      </c>
      <c r="K36" s="377">
        <f t="shared" si="18"/>
        <v>755</v>
      </c>
      <c r="L36" s="378">
        <f t="shared" si="18"/>
        <v>1406</v>
      </c>
      <c r="M36" s="378">
        <f t="shared" si="18"/>
        <v>1076</v>
      </c>
      <c r="N36" s="378">
        <f t="shared" si="18"/>
        <v>1073</v>
      </c>
      <c r="O36" s="377">
        <f t="shared" si="18"/>
        <v>1293</v>
      </c>
      <c r="P36" s="378">
        <f t="shared" si="18"/>
        <v>1307</v>
      </c>
      <c r="Q36" s="378">
        <f t="shared" si="18"/>
        <v>1114</v>
      </c>
      <c r="R36" s="378">
        <f t="shared" si="18"/>
        <v>1186</v>
      </c>
      <c r="S36" s="377">
        <f t="shared" si="18"/>
        <v>444</v>
      </c>
      <c r="T36" s="378">
        <f t="shared" si="18"/>
        <v>306</v>
      </c>
      <c r="U36" s="378">
        <f t="shared" si="18"/>
        <v>399</v>
      </c>
      <c r="V36" s="378">
        <f t="shared" si="18"/>
        <v>449</v>
      </c>
      <c r="W36" s="377">
        <f t="shared" si="18"/>
        <v>291</v>
      </c>
      <c r="X36" s="378">
        <f t="shared" si="18"/>
        <v>142</v>
      </c>
      <c r="Y36" s="378">
        <f t="shared" si="18"/>
        <v>329</v>
      </c>
      <c r="Z36" s="378">
        <f t="shared" si="18"/>
        <v>254</v>
      </c>
      <c r="AA36" s="377">
        <f t="shared" si="18"/>
        <v>13426</v>
      </c>
      <c r="AB36" s="378">
        <f t="shared" si="18"/>
        <v>13566</v>
      </c>
      <c r="AC36" s="378">
        <f t="shared" si="18"/>
        <v>13562</v>
      </c>
      <c r="AD36" s="500">
        <f t="shared" si="18"/>
        <v>14543</v>
      </c>
      <c r="AE36" s="361"/>
    </row>
    <row r="37" spans="1:46" s="515" customFormat="1" ht="22.5" customHeight="1">
      <c r="A37" s="499" t="s">
        <v>583</v>
      </c>
      <c r="B37" s="350" t="s">
        <v>901</v>
      </c>
      <c r="C37" s="378">
        <v>7149</v>
      </c>
      <c r="D37" s="378">
        <v>6710</v>
      </c>
      <c r="E37" s="378">
        <v>7013</v>
      </c>
      <c r="F37" s="500">
        <v>8243</v>
      </c>
      <c r="G37" s="378">
        <v>379</v>
      </c>
      <c r="H37" s="378">
        <v>446</v>
      </c>
      <c r="I37" s="378">
        <v>376</v>
      </c>
      <c r="J37" s="500">
        <v>368</v>
      </c>
      <c r="K37" s="378">
        <v>780</v>
      </c>
      <c r="L37" s="378">
        <v>695</v>
      </c>
      <c r="M37" s="378">
        <v>548</v>
      </c>
      <c r="N37" s="500">
        <v>429</v>
      </c>
      <c r="O37" s="378">
        <v>1526</v>
      </c>
      <c r="P37" s="378">
        <v>1910</v>
      </c>
      <c r="Q37" s="378">
        <v>1813</v>
      </c>
      <c r="R37" s="500">
        <v>1656</v>
      </c>
      <c r="S37" s="378">
        <v>620</v>
      </c>
      <c r="T37" s="378">
        <v>469</v>
      </c>
      <c r="U37" s="378">
        <v>334</v>
      </c>
      <c r="V37" s="500">
        <v>186</v>
      </c>
      <c r="W37" s="378">
        <v>23</v>
      </c>
      <c r="X37" s="378">
        <v>12</v>
      </c>
      <c r="Y37" s="378">
        <v>27</v>
      </c>
      <c r="Z37" s="500"/>
      <c r="AA37" s="377">
        <f t="shared" si="16"/>
        <v>10477</v>
      </c>
      <c r="AB37" s="378">
        <f t="shared" si="16"/>
        <v>10242</v>
      </c>
      <c r="AC37" s="378">
        <f t="shared" si="17"/>
        <v>10111</v>
      </c>
      <c r="AD37" s="500">
        <f>+Z37+V37+R37+N37+J37+F37</f>
        <v>10882</v>
      </c>
      <c r="AE37" s="525"/>
    </row>
    <row r="38" spans="1:46" s="515" customFormat="1" ht="22.5" customHeight="1">
      <c r="A38" s="499" t="s">
        <v>1027</v>
      </c>
      <c r="B38" s="350" t="s">
        <v>902</v>
      </c>
      <c r="C38" s="378">
        <v>14073</v>
      </c>
      <c r="D38" s="378">
        <v>15912</v>
      </c>
      <c r="E38" s="378">
        <v>15311</v>
      </c>
      <c r="F38" s="500">
        <v>14334</v>
      </c>
      <c r="G38" s="378">
        <v>1870</v>
      </c>
      <c r="H38" s="378">
        <v>1334</v>
      </c>
      <c r="I38" s="378">
        <v>1618</v>
      </c>
      <c r="J38" s="500">
        <v>866</v>
      </c>
      <c r="K38" s="378">
        <v>391</v>
      </c>
      <c r="L38" s="378">
        <v>128</v>
      </c>
      <c r="M38" s="378">
        <v>114</v>
      </c>
      <c r="N38" s="500">
        <v>29</v>
      </c>
      <c r="O38" s="378">
        <v>2333</v>
      </c>
      <c r="P38" s="378">
        <v>3291</v>
      </c>
      <c r="Q38" s="378">
        <v>2723</v>
      </c>
      <c r="R38" s="500">
        <v>2220</v>
      </c>
      <c r="S38" s="378">
        <v>1348</v>
      </c>
      <c r="T38" s="378">
        <v>877</v>
      </c>
      <c r="U38" s="378">
        <v>637</v>
      </c>
      <c r="V38" s="500">
        <v>549</v>
      </c>
      <c r="W38" s="378">
        <v>46</v>
      </c>
      <c r="X38" s="378"/>
      <c r="Y38" s="378"/>
      <c r="Z38" s="500"/>
      <c r="AA38" s="377">
        <f t="shared" si="16"/>
        <v>20061</v>
      </c>
      <c r="AB38" s="378">
        <f t="shared" si="16"/>
        <v>21542</v>
      </c>
      <c r="AC38" s="378">
        <f t="shared" si="17"/>
        <v>20403</v>
      </c>
      <c r="AD38" s="500">
        <f>+Z38+V38+R38+N38+J38+F38</f>
        <v>17998</v>
      </c>
      <c r="AE38" s="525"/>
    </row>
    <row r="39" spans="1:46" s="515" customFormat="1" ht="22.5" customHeight="1">
      <c r="A39" s="499"/>
      <c r="B39" s="303" t="s">
        <v>1062</v>
      </c>
      <c r="C39" s="378"/>
      <c r="D39" s="378"/>
      <c r="E39" s="378"/>
      <c r="F39" s="500">
        <v>291</v>
      </c>
      <c r="G39" s="378"/>
      <c r="H39" s="378"/>
      <c r="I39" s="378"/>
      <c r="J39" s="500">
        <v>3</v>
      </c>
      <c r="K39" s="378"/>
      <c r="L39" s="378"/>
      <c r="M39" s="378"/>
      <c r="N39" s="500"/>
      <c r="O39" s="378"/>
      <c r="P39" s="378"/>
      <c r="Q39" s="378"/>
      <c r="R39" s="500">
        <v>277</v>
      </c>
      <c r="S39" s="378"/>
      <c r="T39" s="378"/>
      <c r="U39" s="378"/>
      <c r="V39" s="500">
        <v>110</v>
      </c>
      <c r="W39" s="378"/>
      <c r="X39" s="378"/>
      <c r="Y39" s="378"/>
      <c r="Z39" s="500"/>
      <c r="AA39" s="377"/>
      <c r="AB39" s="378"/>
      <c r="AC39" s="378"/>
      <c r="AD39" s="500">
        <f>+Z39+V39+R39+N39+J39+F39</f>
        <v>681</v>
      </c>
      <c r="AE39" s="525"/>
    </row>
    <row r="40" spans="1:46" s="515" customFormat="1" ht="22.5" customHeight="1">
      <c r="A40" s="499" t="s">
        <v>585</v>
      </c>
      <c r="B40" s="350" t="s">
        <v>903</v>
      </c>
      <c r="C40" s="378">
        <v>11374</v>
      </c>
      <c r="D40" s="378">
        <v>11301</v>
      </c>
      <c r="E40" s="378">
        <v>9284</v>
      </c>
      <c r="F40" s="500">
        <v>8634</v>
      </c>
      <c r="G40" s="378">
        <v>1132</v>
      </c>
      <c r="H40" s="378">
        <v>1520</v>
      </c>
      <c r="I40" s="378">
        <v>1312</v>
      </c>
      <c r="J40" s="500">
        <v>786</v>
      </c>
      <c r="K40" s="378">
        <v>781</v>
      </c>
      <c r="L40" s="378">
        <v>207</v>
      </c>
      <c r="M40" s="378">
        <v>202</v>
      </c>
      <c r="N40" s="500">
        <v>606</v>
      </c>
      <c r="O40" s="378">
        <v>1694</v>
      </c>
      <c r="P40" s="378">
        <v>1192</v>
      </c>
      <c r="Q40" s="378">
        <v>1153</v>
      </c>
      <c r="R40" s="500">
        <v>981</v>
      </c>
      <c r="S40" s="378">
        <v>397</v>
      </c>
      <c r="T40" s="378">
        <v>465</v>
      </c>
      <c r="U40" s="378">
        <v>556</v>
      </c>
      <c r="V40" s="500">
        <v>431</v>
      </c>
      <c r="W40" s="378">
        <v>283</v>
      </c>
      <c r="X40" s="378">
        <v>36</v>
      </c>
      <c r="Y40" s="378">
        <v>108</v>
      </c>
      <c r="Z40" s="500">
        <v>69</v>
      </c>
      <c r="AA40" s="377">
        <f t="shared" si="16"/>
        <v>15661</v>
      </c>
      <c r="AB40" s="378">
        <f t="shared" si="16"/>
        <v>14721</v>
      </c>
      <c r="AC40" s="378">
        <f t="shared" si="17"/>
        <v>12615</v>
      </c>
      <c r="AD40" s="500">
        <f>+Z40+V40+R40+N40+J40+F40</f>
        <v>11507</v>
      </c>
      <c r="AE40" s="525"/>
    </row>
    <row r="41" spans="1:46" s="515" customFormat="1" ht="22.5" customHeight="1">
      <c r="A41" s="499"/>
      <c r="B41" s="303" t="s">
        <v>1343</v>
      </c>
      <c r="C41" s="378"/>
      <c r="D41" s="378">
        <v>1258</v>
      </c>
      <c r="E41" s="378">
        <v>1646</v>
      </c>
      <c r="F41" s="500">
        <v>658</v>
      </c>
      <c r="G41" s="378"/>
      <c r="H41" s="378">
        <v>178</v>
      </c>
      <c r="I41" s="378">
        <v>225</v>
      </c>
      <c r="J41" s="500">
        <v>130</v>
      </c>
      <c r="K41" s="378"/>
      <c r="L41" s="378">
        <v>76</v>
      </c>
      <c r="M41" s="378">
        <v>83</v>
      </c>
      <c r="N41" s="500">
        <v>30</v>
      </c>
      <c r="O41" s="378"/>
      <c r="P41" s="378">
        <v>113</v>
      </c>
      <c r="Q41" s="378">
        <v>101</v>
      </c>
      <c r="R41" s="500">
        <v>115</v>
      </c>
      <c r="S41" s="378"/>
      <c r="T41" s="378"/>
      <c r="U41" s="378"/>
      <c r="V41" s="500"/>
      <c r="W41" s="378"/>
      <c r="X41" s="378">
        <v>15</v>
      </c>
      <c r="Y41" s="378">
        <v>83</v>
      </c>
      <c r="Z41" s="500">
        <v>45</v>
      </c>
      <c r="AA41" s="377"/>
      <c r="AB41" s="378">
        <f t="shared" si="17"/>
        <v>1640</v>
      </c>
      <c r="AC41" s="378">
        <f t="shared" si="17"/>
        <v>2138</v>
      </c>
      <c r="AD41" s="500">
        <f>+Z41+V41+R41+N41+J41+F41</f>
        <v>978</v>
      </c>
      <c r="AE41" s="525"/>
    </row>
    <row r="42" spans="1:46" s="515" customFormat="1" ht="22.5" customHeight="1">
      <c r="A42" s="499"/>
      <c r="B42" s="350" t="s">
        <v>690</v>
      </c>
      <c r="C42" s="378">
        <f t="shared" ref="C42:D42" si="19">SUM(C40:C41)</f>
        <v>11374</v>
      </c>
      <c r="D42" s="378">
        <f t="shared" si="19"/>
        <v>12559</v>
      </c>
      <c r="E42" s="378">
        <f>SUM(E40:E41)</f>
        <v>10930</v>
      </c>
      <c r="F42" s="500">
        <f>SUM(F40:F41)</f>
        <v>9292</v>
      </c>
      <c r="G42" s="377">
        <f t="shared" ref="G42:AD42" si="20">SUM(G40:G41)</f>
        <v>1132</v>
      </c>
      <c r="H42" s="378">
        <f t="shared" si="20"/>
        <v>1698</v>
      </c>
      <c r="I42" s="378">
        <f t="shared" si="20"/>
        <v>1537</v>
      </c>
      <c r="J42" s="500">
        <f t="shared" si="20"/>
        <v>916</v>
      </c>
      <c r="K42" s="377">
        <f t="shared" si="20"/>
        <v>781</v>
      </c>
      <c r="L42" s="378">
        <f t="shared" si="20"/>
        <v>283</v>
      </c>
      <c r="M42" s="378">
        <f t="shared" si="20"/>
        <v>285</v>
      </c>
      <c r="N42" s="500">
        <f t="shared" si="20"/>
        <v>636</v>
      </c>
      <c r="O42" s="377">
        <f t="shared" si="20"/>
        <v>1694</v>
      </c>
      <c r="P42" s="378">
        <f t="shared" si="20"/>
        <v>1305</v>
      </c>
      <c r="Q42" s="378">
        <f t="shared" si="20"/>
        <v>1254</v>
      </c>
      <c r="R42" s="500">
        <f t="shared" si="20"/>
        <v>1096</v>
      </c>
      <c r="S42" s="377">
        <f t="shared" si="20"/>
        <v>397</v>
      </c>
      <c r="T42" s="378">
        <f t="shared" si="20"/>
        <v>465</v>
      </c>
      <c r="U42" s="378">
        <f t="shared" si="20"/>
        <v>556</v>
      </c>
      <c r="V42" s="500">
        <f t="shared" si="20"/>
        <v>431</v>
      </c>
      <c r="W42" s="377">
        <f t="shared" si="20"/>
        <v>283</v>
      </c>
      <c r="X42" s="378">
        <f t="shared" si="20"/>
        <v>51</v>
      </c>
      <c r="Y42" s="378">
        <f t="shared" si="20"/>
        <v>191</v>
      </c>
      <c r="Z42" s="500">
        <f t="shared" si="20"/>
        <v>114</v>
      </c>
      <c r="AA42" s="377">
        <f t="shared" si="20"/>
        <v>15661</v>
      </c>
      <c r="AB42" s="378">
        <f t="shared" si="20"/>
        <v>16361</v>
      </c>
      <c r="AC42" s="378">
        <f t="shared" si="20"/>
        <v>14753</v>
      </c>
      <c r="AD42" s="500">
        <f t="shared" si="20"/>
        <v>12485</v>
      </c>
      <c r="AE42" s="525"/>
    </row>
    <row r="43" spans="1:46" s="6" customFormat="1" ht="22.5" customHeight="1">
      <c r="A43" s="509" t="s">
        <v>1028</v>
      </c>
      <c r="B43" s="1068"/>
      <c r="C43" s="507">
        <f t="shared" ref="C43" si="21">+C27+C32+C36+C37+C38+C42+C39</f>
        <v>93121</v>
      </c>
      <c r="D43" s="507">
        <f>+D27+D32+D36+D37+D38+D42+D39</f>
        <v>97251</v>
      </c>
      <c r="E43" s="507">
        <f>+E27+E32+E36+E37+E38+E42+E39</f>
        <v>92043</v>
      </c>
      <c r="F43" s="508">
        <f>+F27+F32+F36+F37+F38+F42+F39</f>
        <v>96440</v>
      </c>
      <c r="G43" s="507">
        <f t="shared" ref="G43:K43" si="22">+G27+G32+G36+G37+G38+G42+G39</f>
        <v>11193</v>
      </c>
      <c r="H43" s="507">
        <f t="shared" si="22"/>
        <v>10862</v>
      </c>
      <c r="I43" s="507">
        <f t="shared" si="22"/>
        <v>12470</v>
      </c>
      <c r="J43" s="508">
        <f t="shared" si="22"/>
        <v>8095</v>
      </c>
      <c r="K43" s="507">
        <f t="shared" si="22"/>
        <v>14485</v>
      </c>
      <c r="L43" s="507">
        <f>+L27+L32+L36+L37+L38+L42+L39</f>
        <v>13722</v>
      </c>
      <c r="M43" s="507">
        <f t="shared" ref="M43:AD43" si="23">+M27+M32+M36+M37+M38+M42+M39</f>
        <v>13496</v>
      </c>
      <c r="N43" s="508">
        <f t="shared" si="23"/>
        <v>5108</v>
      </c>
      <c r="O43" s="507">
        <f t="shared" si="23"/>
        <v>14453</v>
      </c>
      <c r="P43" s="507">
        <f t="shared" si="23"/>
        <v>15252</v>
      </c>
      <c r="Q43" s="507">
        <f t="shared" si="23"/>
        <v>14927</v>
      </c>
      <c r="R43" s="508">
        <f t="shared" si="23"/>
        <v>14939</v>
      </c>
      <c r="S43" s="507">
        <f t="shared" si="23"/>
        <v>6565</v>
      </c>
      <c r="T43" s="507">
        <f t="shared" si="23"/>
        <v>5326</v>
      </c>
      <c r="U43" s="507">
        <f t="shared" si="23"/>
        <v>4921</v>
      </c>
      <c r="V43" s="508">
        <f t="shared" si="23"/>
        <v>5585</v>
      </c>
      <c r="W43" s="507">
        <f t="shared" si="23"/>
        <v>1676</v>
      </c>
      <c r="X43" s="507">
        <f t="shared" si="23"/>
        <v>648</v>
      </c>
      <c r="Y43" s="507">
        <f t="shared" si="23"/>
        <v>1059</v>
      </c>
      <c r="Z43" s="508">
        <f t="shared" si="23"/>
        <v>1196</v>
      </c>
      <c r="AA43" s="507">
        <f t="shared" si="23"/>
        <v>141493</v>
      </c>
      <c r="AB43" s="507">
        <f t="shared" si="23"/>
        <v>143061</v>
      </c>
      <c r="AC43" s="507">
        <f t="shared" si="23"/>
        <v>138916</v>
      </c>
      <c r="AD43" s="508">
        <f t="shared" si="23"/>
        <v>131363</v>
      </c>
      <c r="AE43" s="361"/>
      <c r="AF43" s="361"/>
    </row>
    <row r="44" spans="1:46" s="515" customFormat="1" ht="22.5" customHeight="1">
      <c r="A44" s="1237" t="s">
        <v>706</v>
      </c>
      <c r="B44" s="1238"/>
      <c r="C44" s="511">
        <f t="shared" ref="C44:AD44" si="24">+C22+C43</f>
        <v>148416</v>
      </c>
      <c r="D44" s="511">
        <f t="shared" si="24"/>
        <v>154430</v>
      </c>
      <c r="E44" s="511">
        <f t="shared" si="24"/>
        <v>139398</v>
      </c>
      <c r="F44" s="512">
        <f t="shared" si="24"/>
        <v>145653</v>
      </c>
      <c r="G44" s="510">
        <f t="shared" si="24"/>
        <v>17988</v>
      </c>
      <c r="H44" s="511">
        <f t="shared" si="24"/>
        <v>18025</v>
      </c>
      <c r="I44" s="511">
        <f t="shared" si="24"/>
        <v>19431</v>
      </c>
      <c r="J44" s="512">
        <f t="shared" si="24"/>
        <v>13192</v>
      </c>
      <c r="K44" s="511">
        <f t="shared" si="24"/>
        <v>18077</v>
      </c>
      <c r="L44" s="511">
        <f t="shared" si="24"/>
        <v>17000</v>
      </c>
      <c r="M44" s="511">
        <f t="shared" si="24"/>
        <v>16852</v>
      </c>
      <c r="N44" s="512">
        <f t="shared" si="24"/>
        <v>8517</v>
      </c>
      <c r="O44" s="510">
        <f t="shared" si="24"/>
        <v>24565</v>
      </c>
      <c r="P44" s="511">
        <f t="shared" si="24"/>
        <v>25900</v>
      </c>
      <c r="Q44" s="511">
        <f t="shared" si="24"/>
        <v>24908</v>
      </c>
      <c r="R44" s="512">
        <f t="shared" si="24"/>
        <v>23951</v>
      </c>
      <c r="S44" s="511">
        <f t="shared" si="24"/>
        <v>9648</v>
      </c>
      <c r="T44" s="511">
        <f t="shared" si="24"/>
        <v>7088</v>
      </c>
      <c r="U44" s="511">
        <f t="shared" si="24"/>
        <v>6814</v>
      </c>
      <c r="V44" s="512">
        <f t="shared" si="24"/>
        <v>8406</v>
      </c>
      <c r="W44" s="511">
        <f t="shared" si="24"/>
        <v>2410</v>
      </c>
      <c r="X44" s="511">
        <f t="shared" si="24"/>
        <v>1558</v>
      </c>
      <c r="Y44" s="511">
        <f t="shared" si="24"/>
        <v>1542</v>
      </c>
      <c r="Z44" s="512">
        <f t="shared" si="24"/>
        <v>1354</v>
      </c>
      <c r="AA44" s="510">
        <f t="shared" si="24"/>
        <v>221104</v>
      </c>
      <c r="AB44" s="511">
        <f t="shared" si="24"/>
        <v>224001</v>
      </c>
      <c r="AC44" s="511">
        <f t="shared" si="24"/>
        <v>208945</v>
      </c>
      <c r="AD44" s="512">
        <f t="shared" si="24"/>
        <v>201073</v>
      </c>
      <c r="AE44" s="519"/>
      <c r="AF44" s="519"/>
      <c r="AG44" s="519"/>
      <c r="AH44" s="519"/>
      <c r="AI44" s="519"/>
      <c r="AJ44" s="519"/>
      <c r="AK44" s="519"/>
      <c r="AL44" s="519"/>
      <c r="AM44" s="519"/>
      <c r="AN44" s="519"/>
      <c r="AO44" s="519"/>
      <c r="AP44" s="519"/>
      <c r="AQ44" s="519"/>
      <c r="AR44" s="519"/>
      <c r="AS44" s="519"/>
      <c r="AT44" s="519"/>
    </row>
    <row r="45" spans="1:46">
      <c r="C45" s="520"/>
      <c r="D45" s="520"/>
      <c r="E45" s="520"/>
      <c r="F45" s="520"/>
      <c r="G45" s="520"/>
      <c r="H45" s="520"/>
      <c r="I45" s="520"/>
      <c r="J45" s="520"/>
      <c r="K45" s="520"/>
      <c r="L45" s="520"/>
      <c r="M45" s="520"/>
      <c r="N45" s="520"/>
      <c r="O45" s="520"/>
      <c r="P45" s="520"/>
      <c r="Q45" s="520"/>
      <c r="R45" s="520"/>
      <c r="S45" s="520"/>
      <c r="T45" s="520"/>
      <c r="U45" s="520"/>
      <c r="V45" s="520"/>
      <c r="W45" s="520"/>
      <c r="X45" s="520"/>
      <c r="Y45" s="520"/>
      <c r="Z45" s="520"/>
      <c r="AA45" s="520"/>
      <c r="AB45" s="520"/>
      <c r="AC45" s="520"/>
      <c r="AD45" s="520"/>
    </row>
    <row r="46" spans="1:46">
      <c r="C46" s="517"/>
      <c r="D46" s="517"/>
      <c r="E46" s="517"/>
      <c r="F46" s="520"/>
      <c r="G46" s="520"/>
      <c r="H46" s="520"/>
      <c r="I46" s="520"/>
      <c r="J46" s="520"/>
      <c r="K46" s="520"/>
      <c r="L46" s="520"/>
      <c r="M46" s="520"/>
      <c r="N46" s="520"/>
      <c r="O46" s="520"/>
      <c r="P46" s="520"/>
      <c r="Q46" s="520"/>
      <c r="R46" s="520"/>
      <c r="S46" s="520"/>
      <c r="T46" s="520"/>
      <c r="U46" s="520"/>
      <c r="V46" s="520"/>
      <c r="W46" s="520"/>
      <c r="X46" s="520"/>
      <c r="Y46" s="520"/>
      <c r="Z46" s="520"/>
      <c r="AA46" s="520"/>
      <c r="AB46" s="520"/>
      <c r="AC46" s="520"/>
      <c r="AD46" s="520"/>
    </row>
    <row r="47" spans="1:46">
      <c r="C47" s="517"/>
      <c r="D47" s="517"/>
      <c r="E47" s="517"/>
      <c r="F47" s="520"/>
      <c r="G47" s="520"/>
      <c r="H47" s="520"/>
      <c r="I47" s="520"/>
      <c r="J47" s="520"/>
      <c r="K47" s="520"/>
      <c r="L47" s="520"/>
      <c r="M47" s="520"/>
      <c r="N47" s="520"/>
      <c r="O47" s="520"/>
      <c r="P47" s="520"/>
      <c r="Q47" s="520"/>
      <c r="R47" s="520"/>
      <c r="S47" s="520"/>
      <c r="T47" s="520"/>
      <c r="U47" s="520"/>
      <c r="V47" s="520"/>
      <c r="W47" s="520"/>
      <c r="X47" s="520"/>
      <c r="Y47" s="520"/>
      <c r="Z47" s="520"/>
      <c r="AA47" s="520"/>
      <c r="AB47" s="520"/>
      <c r="AC47" s="520"/>
      <c r="AD47" s="520"/>
    </row>
    <row r="48" spans="1:46">
      <c r="C48" s="517"/>
      <c r="D48" s="517"/>
      <c r="E48" s="517"/>
      <c r="F48" s="520"/>
      <c r="G48" s="520"/>
      <c r="H48" s="520"/>
      <c r="I48" s="520"/>
      <c r="J48" s="520"/>
      <c r="K48" s="520"/>
      <c r="L48" s="520"/>
      <c r="M48" s="520"/>
      <c r="N48" s="520"/>
      <c r="O48" s="520"/>
      <c r="P48" s="520"/>
      <c r="Q48" s="520"/>
      <c r="R48" s="520"/>
      <c r="S48" s="520"/>
      <c r="T48" s="520"/>
      <c r="U48" s="520"/>
      <c r="V48" s="520"/>
      <c r="W48" s="520"/>
      <c r="X48" s="520"/>
      <c r="Y48" s="520"/>
      <c r="Z48" s="520"/>
      <c r="AA48" s="520"/>
      <c r="AB48" s="520"/>
      <c r="AC48" s="520"/>
      <c r="AD48" s="520"/>
    </row>
    <row r="49" spans="3:30">
      <c r="C49" s="517"/>
      <c r="D49" s="517"/>
      <c r="E49" s="517"/>
      <c r="F49" s="520"/>
      <c r="G49" s="517"/>
      <c r="H49" s="517"/>
      <c r="I49" s="517"/>
      <c r="J49" s="520"/>
      <c r="K49" s="517"/>
      <c r="L49" s="517"/>
      <c r="M49" s="517"/>
      <c r="N49" s="520"/>
      <c r="O49" s="517"/>
      <c r="P49" s="517"/>
      <c r="Q49" s="517"/>
      <c r="R49" s="520"/>
      <c r="S49" s="517"/>
      <c r="T49" s="517"/>
      <c r="U49" s="517"/>
      <c r="V49" s="520"/>
      <c r="W49" s="517"/>
      <c r="X49" s="517"/>
      <c r="Y49" s="517"/>
      <c r="Z49" s="520"/>
      <c r="AA49" s="517"/>
      <c r="AB49" s="517"/>
      <c r="AC49" s="517"/>
      <c r="AD49" s="520"/>
    </row>
    <row r="50" spans="3:30">
      <c r="C50" s="517"/>
      <c r="D50" s="517"/>
      <c r="E50" s="517"/>
      <c r="F50" s="517"/>
      <c r="G50" s="517"/>
      <c r="H50" s="517"/>
      <c r="I50" s="517"/>
      <c r="J50" s="517"/>
      <c r="K50" s="517"/>
      <c r="L50" s="517"/>
      <c r="M50" s="517"/>
      <c r="N50" s="517"/>
      <c r="O50" s="517"/>
      <c r="P50" s="517"/>
      <c r="Q50" s="517"/>
      <c r="R50" s="517"/>
      <c r="S50" s="517"/>
      <c r="T50" s="517"/>
      <c r="U50" s="517"/>
      <c r="V50" s="517"/>
      <c r="W50" s="517"/>
      <c r="X50" s="517"/>
      <c r="Y50" s="517"/>
      <c r="Z50" s="517"/>
      <c r="AA50" s="517"/>
      <c r="AB50" s="520"/>
      <c r="AC50" s="517"/>
      <c r="AD50" s="517"/>
    </row>
    <row r="51" spans="3:30">
      <c r="C51" s="517"/>
      <c r="D51" s="517"/>
      <c r="E51" s="517"/>
      <c r="F51" s="517"/>
      <c r="G51" s="517"/>
      <c r="H51" s="517"/>
      <c r="I51" s="517"/>
      <c r="J51" s="517"/>
      <c r="K51" s="517"/>
      <c r="L51" s="517"/>
      <c r="M51" s="517"/>
      <c r="N51" s="517"/>
      <c r="O51" s="517"/>
      <c r="P51" s="517"/>
      <c r="Q51" s="517"/>
      <c r="R51" s="517"/>
      <c r="S51" s="517"/>
      <c r="T51" s="517"/>
      <c r="U51" s="517"/>
      <c r="V51" s="517"/>
      <c r="W51" s="517"/>
      <c r="X51" s="517"/>
      <c r="Y51" s="517"/>
      <c r="Z51" s="517"/>
      <c r="AA51" s="517"/>
      <c r="AB51" s="517"/>
      <c r="AC51" s="517"/>
      <c r="AD51" s="517"/>
    </row>
    <row r="52" spans="3:30">
      <c r="C52" s="517"/>
      <c r="D52" s="517"/>
      <c r="E52" s="517"/>
      <c r="F52" s="517"/>
      <c r="G52" s="517"/>
      <c r="H52" s="517"/>
      <c r="I52" s="517"/>
      <c r="J52" s="517"/>
      <c r="K52" s="517"/>
      <c r="L52" s="517"/>
      <c r="M52" s="517"/>
      <c r="N52" s="517"/>
      <c r="O52" s="517"/>
      <c r="P52" s="517"/>
      <c r="Q52" s="517"/>
      <c r="R52" s="517"/>
      <c r="S52" s="517"/>
      <c r="T52" s="517"/>
      <c r="U52" s="517"/>
      <c r="V52" s="517"/>
      <c r="W52" s="517"/>
      <c r="X52" s="517"/>
      <c r="Y52" s="517"/>
      <c r="Z52" s="529"/>
      <c r="AA52" s="517"/>
      <c r="AB52" s="517"/>
      <c r="AC52" s="517"/>
      <c r="AD52" s="517"/>
    </row>
    <row r="53" spans="3:30">
      <c r="C53" s="517"/>
      <c r="D53" s="517"/>
      <c r="E53" s="517"/>
      <c r="F53" s="517"/>
      <c r="G53" s="517"/>
      <c r="H53" s="517"/>
      <c r="I53" s="517"/>
      <c r="J53" s="529"/>
      <c r="K53" s="517"/>
      <c r="L53" s="517"/>
      <c r="M53" s="517"/>
      <c r="N53" s="517"/>
      <c r="O53" s="517"/>
      <c r="P53" s="517"/>
      <c r="Q53" s="517"/>
      <c r="R53" s="517"/>
      <c r="S53" s="517"/>
      <c r="T53" s="517"/>
      <c r="U53" s="517"/>
      <c r="V53" s="517"/>
      <c r="W53" s="517"/>
      <c r="X53" s="517"/>
      <c r="Y53" s="517"/>
      <c r="Z53" s="520"/>
      <c r="AA53" s="517"/>
      <c r="AB53" s="517"/>
      <c r="AC53" s="517"/>
      <c r="AD53" s="517"/>
    </row>
    <row r="54" spans="3:30">
      <c r="C54" s="517"/>
      <c r="D54" s="517"/>
      <c r="E54" s="517"/>
      <c r="F54" s="517"/>
      <c r="G54" s="517"/>
      <c r="H54" s="517"/>
      <c r="I54" s="517"/>
      <c r="J54" s="517"/>
      <c r="K54" s="517"/>
      <c r="L54" s="517"/>
      <c r="M54" s="517"/>
      <c r="N54" s="517"/>
      <c r="O54" s="517"/>
      <c r="P54" s="517"/>
      <c r="Q54" s="517"/>
      <c r="R54" s="517"/>
      <c r="S54" s="517"/>
      <c r="T54" s="517"/>
      <c r="U54" s="517"/>
      <c r="V54" s="517"/>
      <c r="W54" s="517"/>
      <c r="X54" s="517"/>
      <c r="Y54" s="517"/>
      <c r="Z54" s="517"/>
      <c r="AA54" s="517"/>
      <c r="AB54" s="517"/>
      <c r="AC54" s="517"/>
      <c r="AD54" s="517"/>
    </row>
    <row r="55" spans="3:30">
      <c r="C55" s="517"/>
      <c r="D55" s="517"/>
      <c r="E55" s="517"/>
      <c r="F55" s="517"/>
      <c r="G55" s="517"/>
      <c r="H55" s="517"/>
      <c r="I55" s="517"/>
      <c r="J55" s="517"/>
      <c r="K55" s="517"/>
      <c r="L55" s="517"/>
      <c r="M55" s="517"/>
      <c r="N55" s="517"/>
      <c r="O55" s="517"/>
      <c r="P55" s="517"/>
      <c r="Q55" s="517"/>
      <c r="R55" s="517"/>
      <c r="S55" s="517"/>
      <c r="T55" s="517"/>
      <c r="U55" s="517"/>
      <c r="V55" s="517"/>
      <c r="W55" s="517"/>
      <c r="X55" s="517"/>
      <c r="Y55" s="517"/>
      <c r="Z55" s="517"/>
      <c r="AA55" s="517"/>
      <c r="AB55" s="517"/>
      <c r="AC55" s="517"/>
      <c r="AD55" s="517"/>
    </row>
    <row r="56" spans="3:30">
      <c r="C56" s="517"/>
      <c r="D56" s="517"/>
      <c r="E56" s="517"/>
      <c r="F56" s="517"/>
      <c r="G56" s="517"/>
      <c r="H56" s="517"/>
      <c r="I56" s="517"/>
      <c r="J56" s="517"/>
      <c r="K56" s="517"/>
      <c r="L56" s="517"/>
      <c r="M56" s="517"/>
      <c r="N56" s="517"/>
      <c r="O56" s="517"/>
      <c r="P56" s="517"/>
      <c r="Q56" s="517"/>
      <c r="R56" s="517"/>
      <c r="S56" s="517"/>
      <c r="T56" s="517"/>
      <c r="U56" s="517"/>
      <c r="V56" s="517"/>
      <c r="W56" s="517"/>
      <c r="X56" s="517"/>
      <c r="Y56" s="517"/>
      <c r="Z56" s="517"/>
      <c r="AA56" s="517"/>
      <c r="AB56" s="517"/>
      <c r="AC56" s="517"/>
      <c r="AD56" s="517"/>
    </row>
    <row r="57" spans="3:30">
      <c r="C57" s="517"/>
      <c r="D57" s="517"/>
      <c r="E57" s="517"/>
      <c r="F57" s="517"/>
      <c r="G57" s="517"/>
      <c r="H57" s="517"/>
      <c r="I57" s="517"/>
      <c r="J57" s="517"/>
      <c r="K57" s="517"/>
      <c r="L57" s="517"/>
      <c r="M57" s="517"/>
      <c r="N57" s="517"/>
      <c r="O57" s="517"/>
      <c r="P57" s="517"/>
      <c r="Q57" s="517"/>
      <c r="R57" s="517"/>
      <c r="S57" s="517"/>
      <c r="T57" s="517"/>
      <c r="U57" s="517"/>
      <c r="V57" s="517"/>
      <c r="W57" s="517"/>
      <c r="X57" s="517"/>
      <c r="Y57" s="517"/>
      <c r="Z57" s="517"/>
      <c r="AA57" s="517"/>
      <c r="AB57" s="517"/>
      <c r="AC57" s="517"/>
      <c r="AD57" s="517"/>
    </row>
    <row r="58" spans="3:30">
      <c r="C58" s="517"/>
      <c r="D58" s="517"/>
      <c r="E58" s="517"/>
      <c r="F58" s="517"/>
      <c r="G58" s="517"/>
      <c r="H58" s="517"/>
      <c r="I58" s="517"/>
      <c r="J58" s="517"/>
      <c r="K58" s="517"/>
      <c r="L58" s="517"/>
      <c r="M58" s="517"/>
      <c r="N58" s="517"/>
      <c r="O58" s="517"/>
      <c r="P58" s="517"/>
      <c r="Q58" s="517"/>
      <c r="R58" s="517"/>
      <c r="S58" s="517"/>
      <c r="T58" s="517"/>
      <c r="U58" s="517"/>
      <c r="V58" s="517"/>
      <c r="W58" s="517"/>
      <c r="X58" s="517"/>
      <c r="Y58" s="517"/>
      <c r="Z58" s="517"/>
      <c r="AA58" s="517"/>
      <c r="AB58" s="517"/>
      <c r="AC58" s="517"/>
      <c r="AD58" s="517"/>
    </row>
    <row r="59" spans="3:30">
      <c r="C59" s="517"/>
      <c r="D59" s="517"/>
      <c r="E59" s="517"/>
      <c r="F59" s="517"/>
      <c r="G59" s="517"/>
      <c r="H59" s="517"/>
      <c r="I59" s="517"/>
      <c r="J59" s="517"/>
      <c r="K59" s="517"/>
      <c r="L59" s="517"/>
      <c r="M59" s="517"/>
      <c r="N59" s="517"/>
      <c r="O59" s="517"/>
      <c r="P59" s="517"/>
      <c r="Q59" s="517"/>
      <c r="R59" s="517"/>
      <c r="S59" s="517"/>
      <c r="T59" s="517"/>
      <c r="U59" s="517"/>
      <c r="V59" s="517"/>
      <c r="W59" s="517"/>
      <c r="X59" s="517"/>
      <c r="Y59" s="517"/>
      <c r="Z59" s="517"/>
      <c r="AA59" s="517"/>
      <c r="AB59" s="517"/>
      <c r="AC59" s="517"/>
      <c r="AD59" s="517"/>
    </row>
    <row r="60" spans="3:30">
      <c r="C60" s="517"/>
      <c r="D60" s="517"/>
      <c r="E60" s="517"/>
      <c r="F60" s="517"/>
      <c r="G60" s="517"/>
      <c r="H60" s="517"/>
      <c r="I60" s="517"/>
      <c r="J60" s="517"/>
      <c r="K60" s="517"/>
      <c r="L60" s="517"/>
      <c r="M60" s="517"/>
      <c r="N60" s="517"/>
      <c r="O60" s="517"/>
      <c r="P60" s="517"/>
      <c r="Q60" s="517"/>
      <c r="R60" s="517"/>
      <c r="S60" s="517"/>
      <c r="T60" s="517"/>
      <c r="U60" s="517"/>
      <c r="V60" s="517"/>
      <c r="W60" s="517"/>
      <c r="X60" s="517"/>
      <c r="Y60" s="517"/>
      <c r="Z60" s="517"/>
      <c r="AA60" s="517"/>
      <c r="AB60" s="517"/>
      <c r="AC60" s="517"/>
      <c r="AD60" s="517"/>
    </row>
    <row r="61" spans="3:30">
      <c r="C61" s="517"/>
      <c r="D61" s="517"/>
      <c r="E61" s="517"/>
      <c r="F61" s="517"/>
      <c r="G61" s="517"/>
      <c r="H61" s="517"/>
      <c r="I61" s="517"/>
      <c r="J61" s="517"/>
      <c r="K61" s="517"/>
      <c r="L61" s="517"/>
      <c r="M61" s="517"/>
      <c r="N61" s="517"/>
      <c r="O61" s="517"/>
      <c r="P61" s="517"/>
      <c r="Q61" s="517"/>
      <c r="R61" s="517"/>
      <c r="S61" s="517"/>
      <c r="T61" s="517"/>
      <c r="U61" s="517"/>
      <c r="V61" s="517"/>
      <c r="W61" s="517"/>
      <c r="X61" s="517"/>
      <c r="Y61" s="517"/>
      <c r="Z61" s="517"/>
      <c r="AA61" s="517"/>
      <c r="AB61" s="517"/>
      <c r="AC61" s="517"/>
      <c r="AD61" s="517"/>
    </row>
    <row r="62" spans="3:30">
      <c r="C62" s="517"/>
      <c r="D62" s="517"/>
      <c r="E62" s="517"/>
      <c r="F62" s="517"/>
      <c r="G62" s="517"/>
      <c r="H62" s="517"/>
      <c r="I62" s="517"/>
      <c r="J62" s="517"/>
      <c r="K62" s="517"/>
      <c r="L62" s="517"/>
      <c r="M62" s="517"/>
      <c r="N62" s="517"/>
      <c r="O62" s="517"/>
      <c r="P62" s="517"/>
      <c r="Q62" s="517"/>
      <c r="R62" s="517"/>
      <c r="S62" s="517"/>
      <c r="T62" s="517"/>
      <c r="U62" s="517"/>
      <c r="V62" s="517"/>
      <c r="W62" s="517"/>
      <c r="X62" s="517"/>
      <c r="Y62" s="517"/>
      <c r="Z62" s="517"/>
      <c r="AA62" s="517"/>
      <c r="AB62" s="517"/>
      <c r="AC62" s="517"/>
      <c r="AD62" s="517"/>
    </row>
    <row r="63" spans="3:30">
      <c r="C63" s="517"/>
      <c r="D63" s="517"/>
      <c r="E63" s="517"/>
      <c r="F63" s="517"/>
      <c r="G63" s="517"/>
      <c r="H63" s="517"/>
      <c r="I63" s="517"/>
      <c r="J63" s="517"/>
      <c r="K63" s="517"/>
      <c r="L63" s="517"/>
      <c r="M63" s="517"/>
      <c r="N63" s="517"/>
      <c r="O63" s="517"/>
      <c r="P63" s="517"/>
      <c r="Q63" s="517"/>
      <c r="R63" s="517"/>
      <c r="S63" s="517"/>
      <c r="T63" s="517"/>
      <c r="U63" s="517"/>
      <c r="V63" s="517"/>
      <c r="W63" s="517"/>
      <c r="X63" s="517"/>
      <c r="Y63" s="517"/>
      <c r="Z63" s="517"/>
      <c r="AA63" s="517"/>
      <c r="AB63" s="517"/>
      <c r="AC63" s="517"/>
      <c r="AD63" s="517"/>
    </row>
    <row r="64" spans="3:30">
      <c r="C64" s="517"/>
      <c r="D64" s="517"/>
      <c r="E64" s="517"/>
      <c r="F64" s="517"/>
      <c r="G64" s="517"/>
      <c r="H64" s="517"/>
      <c r="I64" s="517"/>
      <c r="J64" s="517"/>
      <c r="K64" s="517"/>
      <c r="L64" s="517"/>
      <c r="M64" s="517"/>
      <c r="N64" s="517"/>
      <c r="O64" s="517"/>
      <c r="P64" s="517"/>
      <c r="Q64" s="517"/>
      <c r="R64" s="517"/>
      <c r="S64" s="517"/>
      <c r="T64" s="517"/>
      <c r="U64" s="517"/>
      <c r="V64" s="517"/>
      <c r="W64" s="517"/>
      <c r="X64" s="517"/>
      <c r="Y64" s="517"/>
      <c r="Z64" s="517"/>
      <c r="AA64" s="517"/>
      <c r="AB64" s="517"/>
      <c r="AC64" s="517"/>
      <c r="AD64" s="517"/>
    </row>
    <row r="65" spans="3:30">
      <c r="C65" s="517"/>
      <c r="D65" s="517"/>
      <c r="E65" s="517"/>
      <c r="F65" s="517"/>
      <c r="G65" s="517"/>
      <c r="H65" s="517"/>
      <c r="I65" s="517"/>
      <c r="J65" s="517"/>
      <c r="K65" s="517"/>
      <c r="L65" s="517"/>
      <c r="M65" s="517"/>
      <c r="N65" s="517"/>
      <c r="O65" s="517"/>
      <c r="P65" s="517"/>
      <c r="Q65" s="517"/>
      <c r="R65" s="517"/>
      <c r="S65" s="517"/>
      <c r="T65" s="517"/>
      <c r="U65" s="517"/>
      <c r="V65" s="517"/>
      <c r="W65" s="517"/>
      <c r="X65" s="517"/>
      <c r="Y65" s="517"/>
      <c r="Z65" s="517"/>
      <c r="AA65" s="517"/>
      <c r="AB65" s="517"/>
      <c r="AC65" s="517"/>
      <c r="AD65" s="517"/>
    </row>
    <row r="66" spans="3:30">
      <c r="C66" s="517"/>
      <c r="D66" s="517"/>
      <c r="E66" s="517"/>
      <c r="F66" s="517"/>
      <c r="G66" s="517"/>
      <c r="H66" s="517"/>
      <c r="I66" s="517"/>
      <c r="J66" s="517"/>
      <c r="K66" s="517"/>
      <c r="L66" s="517"/>
      <c r="M66" s="517"/>
      <c r="N66" s="517"/>
      <c r="O66" s="517"/>
      <c r="P66" s="517"/>
      <c r="Q66" s="517"/>
      <c r="R66" s="517"/>
      <c r="S66" s="517"/>
      <c r="T66" s="517"/>
      <c r="U66" s="517"/>
      <c r="V66" s="517"/>
      <c r="W66" s="517"/>
      <c r="X66" s="517"/>
      <c r="Y66" s="517"/>
      <c r="Z66" s="517"/>
      <c r="AA66" s="517"/>
      <c r="AB66" s="517"/>
      <c r="AC66" s="517"/>
      <c r="AD66" s="517"/>
    </row>
    <row r="67" spans="3:30">
      <c r="C67" s="517"/>
      <c r="D67" s="517"/>
      <c r="E67" s="517"/>
      <c r="F67" s="517"/>
      <c r="G67" s="517"/>
      <c r="H67" s="517"/>
      <c r="I67" s="517"/>
      <c r="J67" s="517"/>
      <c r="K67" s="517"/>
      <c r="L67" s="517"/>
      <c r="M67" s="517"/>
      <c r="N67" s="517"/>
      <c r="O67" s="517"/>
      <c r="P67" s="517"/>
      <c r="Q67" s="517"/>
      <c r="R67" s="517"/>
      <c r="S67" s="517"/>
      <c r="T67" s="517"/>
      <c r="U67" s="517"/>
      <c r="V67" s="517"/>
      <c r="W67" s="517"/>
      <c r="X67" s="517"/>
      <c r="Y67" s="517"/>
      <c r="Z67" s="517"/>
      <c r="AA67" s="517"/>
      <c r="AB67" s="517"/>
      <c r="AC67" s="517"/>
      <c r="AD67" s="517"/>
    </row>
    <row r="68" spans="3:30">
      <c r="C68" s="517"/>
      <c r="D68" s="517"/>
      <c r="E68" s="517"/>
      <c r="F68" s="517"/>
      <c r="G68" s="517"/>
      <c r="H68" s="517"/>
      <c r="I68" s="517"/>
      <c r="J68" s="517"/>
      <c r="K68" s="517"/>
      <c r="L68" s="517"/>
      <c r="M68" s="517"/>
      <c r="N68" s="517"/>
      <c r="O68" s="517"/>
      <c r="P68" s="517"/>
      <c r="Q68" s="517"/>
      <c r="R68" s="517"/>
      <c r="S68" s="517"/>
      <c r="T68" s="517"/>
      <c r="U68" s="517"/>
      <c r="V68" s="517"/>
      <c r="W68" s="517"/>
      <c r="X68" s="517"/>
      <c r="Y68" s="517"/>
      <c r="Z68" s="517"/>
      <c r="AA68" s="517"/>
      <c r="AB68" s="517"/>
      <c r="AC68" s="517"/>
      <c r="AD68" s="517"/>
    </row>
    <row r="69" spans="3:30">
      <c r="C69" s="517"/>
      <c r="D69" s="517"/>
      <c r="E69" s="517"/>
      <c r="F69" s="517"/>
      <c r="G69" s="517"/>
      <c r="H69" s="517"/>
      <c r="I69" s="517"/>
      <c r="J69" s="517"/>
      <c r="K69" s="517"/>
      <c r="L69" s="517"/>
      <c r="M69" s="517"/>
      <c r="N69" s="517"/>
      <c r="O69" s="517"/>
      <c r="P69" s="517"/>
      <c r="Q69" s="517"/>
      <c r="R69" s="517"/>
      <c r="S69" s="517"/>
      <c r="T69" s="517"/>
      <c r="U69" s="517"/>
      <c r="V69" s="517"/>
      <c r="W69" s="517"/>
      <c r="X69" s="517"/>
      <c r="Y69" s="517"/>
      <c r="Z69" s="517"/>
      <c r="AA69" s="517"/>
      <c r="AB69" s="517"/>
      <c r="AC69" s="517"/>
      <c r="AD69" s="517"/>
    </row>
    <row r="70" spans="3:30">
      <c r="C70" s="517"/>
      <c r="D70" s="517"/>
      <c r="E70" s="517"/>
      <c r="F70" s="517"/>
      <c r="G70" s="517"/>
      <c r="H70" s="517"/>
      <c r="I70" s="517"/>
      <c r="J70" s="517"/>
      <c r="K70" s="517"/>
      <c r="L70" s="517"/>
      <c r="M70" s="517"/>
      <c r="N70" s="517"/>
      <c r="O70" s="517"/>
      <c r="P70" s="517"/>
      <c r="Q70" s="517"/>
      <c r="R70" s="517"/>
      <c r="S70" s="517"/>
      <c r="T70" s="517"/>
      <c r="U70" s="517"/>
      <c r="V70" s="517"/>
      <c r="W70" s="517"/>
      <c r="X70" s="517"/>
      <c r="Y70" s="517"/>
      <c r="Z70" s="517"/>
      <c r="AA70" s="517"/>
      <c r="AB70" s="517"/>
      <c r="AC70" s="517"/>
      <c r="AD70" s="517"/>
    </row>
    <row r="71" spans="3:30">
      <c r="C71" s="517"/>
      <c r="D71" s="517"/>
      <c r="E71" s="517"/>
      <c r="F71" s="517"/>
      <c r="G71" s="517"/>
      <c r="H71" s="517"/>
      <c r="I71" s="517"/>
      <c r="J71" s="517"/>
      <c r="K71" s="517"/>
      <c r="L71" s="517"/>
      <c r="M71" s="517"/>
      <c r="N71" s="517"/>
      <c r="O71" s="517"/>
      <c r="P71" s="517"/>
      <c r="Q71" s="517"/>
      <c r="R71" s="517"/>
      <c r="S71" s="517"/>
      <c r="T71" s="517"/>
      <c r="U71" s="517"/>
      <c r="V71" s="517"/>
      <c r="W71" s="517"/>
      <c r="X71" s="517"/>
      <c r="Y71" s="517"/>
      <c r="Z71" s="517"/>
      <c r="AA71" s="517"/>
      <c r="AB71" s="517"/>
      <c r="AC71" s="517"/>
      <c r="AD71" s="517"/>
    </row>
    <row r="72" spans="3:30">
      <c r="C72" s="517"/>
      <c r="D72" s="517"/>
      <c r="E72" s="517"/>
      <c r="F72" s="517"/>
      <c r="G72" s="517"/>
      <c r="H72" s="517"/>
      <c r="I72" s="517"/>
      <c r="J72" s="517"/>
      <c r="K72" s="517"/>
      <c r="L72" s="517"/>
      <c r="M72" s="517"/>
      <c r="N72" s="517"/>
      <c r="O72" s="517"/>
      <c r="P72" s="517"/>
      <c r="Q72" s="517"/>
      <c r="R72" s="517"/>
      <c r="S72" s="517"/>
      <c r="T72" s="517"/>
      <c r="U72" s="517"/>
      <c r="V72" s="517"/>
      <c r="W72" s="517"/>
      <c r="X72" s="517"/>
      <c r="Y72" s="517"/>
      <c r="Z72" s="517"/>
      <c r="AA72" s="517"/>
      <c r="AB72" s="517"/>
      <c r="AC72" s="517"/>
      <c r="AD72" s="517"/>
    </row>
    <row r="73" spans="3:30">
      <c r="C73" s="517"/>
      <c r="D73" s="517"/>
      <c r="E73" s="517"/>
      <c r="F73" s="517"/>
      <c r="G73" s="517"/>
      <c r="H73" s="517"/>
      <c r="I73" s="517"/>
      <c r="J73" s="517"/>
      <c r="K73" s="517"/>
      <c r="L73" s="517"/>
      <c r="M73" s="517"/>
      <c r="N73" s="517"/>
      <c r="O73" s="517"/>
      <c r="P73" s="517"/>
      <c r="Q73" s="517"/>
      <c r="R73" s="517"/>
      <c r="S73" s="517"/>
      <c r="T73" s="517"/>
      <c r="U73" s="517"/>
      <c r="V73" s="517"/>
      <c r="W73" s="517"/>
      <c r="X73" s="517"/>
      <c r="Y73" s="517"/>
      <c r="Z73" s="517"/>
      <c r="AA73" s="517"/>
      <c r="AB73" s="517"/>
      <c r="AC73" s="517"/>
      <c r="AD73" s="517"/>
    </row>
    <row r="74" spans="3:30">
      <c r="C74" s="517"/>
      <c r="D74" s="517"/>
      <c r="E74" s="517"/>
      <c r="F74" s="517"/>
      <c r="G74" s="517"/>
      <c r="H74" s="517"/>
      <c r="I74" s="517"/>
      <c r="J74" s="517"/>
      <c r="K74" s="517"/>
      <c r="L74" s="517"/>
      <c r="M74" s="517"/>
      <c r="N74" s="517"/>
      <c r="O74" s="517"/>
      <c r="P74" s="517"/>
      <c r="Q74" s="517"/>
      <c r="R74" s="517"/>
      <c r="S74" s="517"/>
      <c r="T74" s="517"/>
      <c r="U74" s="517"/>
      <c r="V74" s="517"/>
      <c r="W74" s="517"/>
      <c r="X74" s="517"/>
      <c r="Y74" s="517"/>
      <c r="Z74" s="517"/>
      <c r="AA74" s="517"/>
      <c r="AB74" s="517"/>
      <c r="AC74" s="517"/>
      <c r="AD74" s="517"/>
    </row>
    <row r="75" spans="3:30">
      <c r="C75" s="517"/>
      <c r="D75" s="517"/>
      <c r="E75" s="517"/>
      <c r="F75" s="517"/>
      <c r="G75" s="517"/>
      <c r="H75" s="517"/>
      <c r="I75" s="517"/>
      <c r="J75" s="517"/>
      <c r="K75" s="517"/>
      <c r="L75" s="517"/>
      <c r="M75" s="517"/>
      <c r="N75" s="517"/>
      <c r="O75" s="517"/>
      <c r="P75" s="517"/>
      <c r="Q75" s="517"/>
      <c r="R75" s="517"/>
      <c r="S75" s="517"/>
      <c r="T75" s="517"/>
      <c r="U75" s="517"/>
      <c r="V75" s="517"/>
      <c r="W75" s="517"/>
      <c r="X75" s="517"/>
      <c r="Y75" s="517"/>
      <c r="Z75" s="517"/>
      <c r="AA75" s="517"/>
      <c r="AB75" s="517"/>
      <c r="AC75" s="517"/>
      <c r="AD75" s="517"/>
    </row>
    <row r="76" spans="3:30">
      <c r="C76" s="517"/>
      <c r="D76" s="517"/>
      <c r="E76" s="517"/>
      <c r="F76" s="517"/>
      <c r="G76" s="517"/>
      <c r="H76" s="517"/>
      <c r="I76" s="517"/>
      <c r="J76" s="517"/>
      <c r="K76" s="517"/>
      <c r="L76" s="517"/>
      <c r="M76" s="517"/>
      <c r="N76" s="517"/>
      <c r="O76" s="517"/>
      <c r="P76" s="517"/>
      <c r="Q76" s="517"/>
      <c r="R76" s="517"/>
      <c r="S76" s="517"/>
      <c r="T76" s="517"/>
      <c r="U76" s="517"/>
      <c r="V76" s="517"/>
      <c r="W76" s="517"/>
      <c r="X76" s="517"/>
      <c r="Y76" s="517"/>
      <c r="Z76" s="517"/>
      <c r="AA76" s="517"/>
      <c r="AB76" s="517"/>
      <c r="AC76" s="517"/>
      <c r="AD76" s="517"/>
    </row>
    <row r="77" spans="3:30">
      <c r="C77" s="517"/>
      <c r="D77" s="517"/>
      <c r="E77" s="517"/>
      <c r="F77" s="517"/>
      <c r="G77" s="517"/>
      <c r="H77" s="517"/>
      <c r="I77" s="517"/>
      <c r="J77" s="517"/>
      <c r="K77" s="517"/>
      <c r="L77" s="517"/>
      <c r="M77" s="517"/>
      <c r="N77" s="517"/>
      <c r="O77" s="517"/>
      <c r="P77" s="517"/>
      <c r="Q77" s="517"/>
      <c r="R77" s="517"/>
      <c r="S77" s="517"/>
      <c r="T77" s="517"/>
      <c r="U77" s="517"/>
      <c r="V77" s="517"/>
      <c r="W77" s="517"/>
      <c r="X77" s="517"/>
      <c r="Y77" s="517"/>
      <c r="Z77" s="517"/>
      <c r="AA77" s="517"/>
      <c r="AB77" s="517"/>
      <c r="AC77" s="517"/>
      <c r="AD77" s="517"/>
    </row>
    <row r="78" spans="3:30">
      <c r="C78" s="517"/>
      <c r="D78" s="517"/>
      <c r="E78" s="517"/>
      <c r="F78" s="517"/>
      <c r="G78" s="517"/>
      <c r="H78" s="517"/>
      <c r="I78" s="517"/>
      <c r="J78" s="517"/>
      <c r="K78" s="517"/>
      <c r="L78" s="517"/>
      <c r="M78" s="517"/>
      <c r="N78" s="517"/>
      <c r="O78" s="517"/>
      <c r="P78" s="517"/>
      <c r="Q78" s="517"/>
      <c r="R78" s="517"/>
      <c r="S78" s="517"/>
      <c r="T78" s="517"/>
      <c r="U78" s="517"/>
      <c r="V78" s="517"/>
      <c r="W78" s="517"/>
      <c r="X78" s="517"/>
      <c r="Y78" s="517"/>
      <c r="Z78" s="517"/>
      <c r="AA78" s="517"/>
      <c r="AB78" s="517"/>
      <c r="AC78" s="517"/>
      <c r="AD78" s="517"/>
    </row>
    <row r="79" spans="3:30">
      <c r="C79" s="517"/>
      <c r="D79" s="517"/>
      <c r="E79" s="517"/>
      <c r="F79" s="517"/>
      <c r="G79" s="517"/>
      <c r="H79" s="517"/>
      <c r="I79" s="517"/>
      <c r="J79" s="517"/>
      <c r="K79" s="517"/>
      <c r="L79" s="517"/>
      <c r="M79" s="517"/>
      <c r="N79" s="517"/>
      <c r="O79" s="517"/>
      <c r="P79" s="517"/>
      <c r="Q79" s="517"/>
      <c r="R79" s="517"/>
      <c r="S79" s="517"/>
      <c r="T79" s="517"/>
      <c r="U79" s="517"/>
      <c r="V79" s="517"/>
      <c r="W79" s="517"/>
      <c r="X79" s="517"/>
      <c r="Y79" s="517"/>
      <c r="Z79" s="517"/>
      <c r="AA79" s="517"/>
      <c r="AB79" s="517"/>
      <c r="AC79" s="517"/>
      <c r="AD79" s="517"/>
    </row>
    <row r="80" spans="3:30">
      <c r="C80" s="517"/>
      <c r="D80" s="517"/>
      <c r="E80" s="517"/>
      <c r="F80" s="517"/>
      <c r="G80" s="517"/>
      <c r="H80" s="517"/>
      <c r="I80" s="517"/>
      <c r="J80" s="517"/>
      <c r="K80" s="517"/>
      <c r="L80" s="517"/>
      <c r="M80" s="517"/>
      <c r="N80" s="517"/>
      <c r="O80" s="517"/>
      <c r="P80" s="517"/>
      <c r="Q80" s="517"/>
      <c r="R80" s="517"/>
      <c r="S80" s="517"/>
      <c r="T80" s="517"/>
      <c r="U80" s="517"/>
      <c r="V80" s="517"/>
      <c r="W80" s="517"/>
      <c r="X80" s="517"/>
      <c r="Y80" s="517"/>
      <c r="Z80" s="517"/>
      <c r="AA80" s="517"/>
      <c r="AB80" s="517"/>
      <c r="AC80" s="517"/>
      <c r="AD80" s="517"/>
    </row>
    <row r="81" spans="3:30">
      <c r="C81" s="517"/>
      <c r="D81" s="517"/>
      <c r="E81" s="517"/>
      <c r="F81" s="517"/>
      <c r="G81" s="517"/>
      <c r="H81" s="517"/>
      <c r="I81" s="517"/>
      <c r="J81" s="517"/>
      <c r="K81" s="517"/>
      <c r="L81" s="517"/>
      <c r="M81" s="517"/>
      <c r="N81" s="517"/>
      <c r="O81" s="517"/>
      <c r="P81" s="517"/>
      <c r="Q81" s="517"/>
      <c r="R81" s="517"/>
      <c r="S81" s="517"/>
      <c r="T81" s="517"/>
      <c r="U81" s="517"/>
      <c r="V81" s="517"/>
      <c r="W81" s="517"/>
      <c r="X81" s="517"/>
      <c r="Y81" s="517"/>
      <c r="Z81" s="517"/>
      <c r="AA81" s="517"/>
      <c r="AB81" s="517"/>
      <c r="AC81" s="517"/>
      <c r="AD81" s="517"/>
    </row>
    <row r="82" spans="3:30">
      <c r="C82" s="517"/>
      <c r="D82" s="517"/>
      <c r="E82" s="517"/>
      <c r="F82" s="517"/>
      <c r="G82" s="517"/>
      <c r="H82" s="517"/>
      <c r="I82" s="517"/>
      <c r="J82" s="517"/>
      <c r="K82" s="517"/>
      <c r="L82" s="517"/>
      <c r="M82" s="517"/>
      <c r="N82" s="517"/>
      <c r="O82" s="517"/>
      <c r="P82" s="517"/>
      <c r="Q82" s="517"/>
      <c r="R82" s="517"/>
      <c r="S82" s="517"/>
      <c r="T82" s="517"/>
      <c r="U82" s="517"/>
      <c r="V82" s="517"/>
      <c r="W82" s="517"/>
      <c r="X82" s="517"/>
      <c r="Y82" s="517"/>
      <c r="Z82" s="517"/>
      <c r="AA82" s="517"/>
      <c r="AB82" s="517"/>
      <c r="AC82" s="517"/>
      <c r="AD82" s="517"/>
    </row>
    <row r="83" spans="3:30">
      <c r="C83" s="517"/>
      <c r="D83" s="517"/>
      <c r="E83" s="517"/>
      <c r="F83" s="517"/>
      <c r="G83" s="517"/>
      <c r="H83" s="517"/>
      <c r="I83" s="517"/>
      <c r="J83" s="517"/>
      <c r="K83" s="517"/>
      <c r="L83" s="517"/>
      <c r="M83" s="517"/>
      <c r="N83" s="517"/>
      <c r="O83" s="517"/>
      <c r="P83" s="517"/>
      <c r="Q83" s="517"/>
      <c r="R83" s="517"/>
      <c r="S83" s="517"/>
      <c r="T83" s="517"/>
      <c r="U83" s="517"/>
      <c r="V83" s="517"/>
      <c r="W83" s="517"/>
      <c r="X83" s="517"/>
      <c r="Y83" s="517"/>
      <c r="Z83" s="517"/>
      <c r="AA83" s="517"/>
      <c r="AB83" s="517"/>
      <c r="AC83" s="517"/>
      <c r="AD83" s="517"/>
    </row>
    <row r="84" spans="3:30">
      <c r="C84" s="517"/>
      <c r="D84" s="517"/>
      <c r="E84" s="517"/>
      <c r="F84" s="517"/>
      <c r="G84" s="517"/>
      <c r="H84" s="517"/>
      <c r="I84" s="517"/>
      <c r="J84" s="517"/>
      <c r="K84" s="517"/>
      <c r="L84" s="517"/>
      <c r="M84" s="517"/>
      <c r="N84" s="517"/>
      <c r="O84" s="517"/>
      <c r="P84" s="517"/>
      <c r="Q84" s="517"/>
      <c r="R84" s="517"/>
      <c r="S84" s="517"/>
      <c r="T84" s="517"/>
      <c r="U84" s="517"/>
      <c r="V84" s="517"/>
      <c r="W84" s="517"/>
      <c r="X84" s="517"/>
      <c r="Y84" s="517"/>
      <c r="Z84" s="517"/>
      <c r="AA84" s="517"/>
      <c r="AB84" s="517"/>
      <c r="AC84" s="517"/>
      <c r="AD84" s="517"/>
    </row>
    <row r="85" spans="3:30">
      <c r="C85" s="517"/>
      <c r="D85" s="517"/>
      <c r="E85" s="517"/>
      <c r="F85" s="517"/>
      <c r="G85" s="517"/>
      <c r="H85" s="517"/>
      <c r="I85" s="517"/>
      <c r="J85" s="517"/>
      <c r="K85" s="517"/>
      <c r="L85" s="517"/>
      <c r="M85" s="517"/>
      <c r="N85" s="517"/>
      <c r="O85" s="517"/>
      <c r="P85" s="517"/>
      <c r="Q85" s="517"/>
      <c r="R85" s="517"/>
      <c r="S85" s="517"/>
      <c r="T85" s="517"/>
      <c r="U85" s="517"/>
      <c r="V85" s="517"/>
      <c r="W85" s="517"/>
      <c r="X85" s="517"/>
      <c r="Y85" s="517"/>
      <c r="Z85" s="517"/>
      <c r="AA85" s="517"/>
      <c r="AB85" s="517"/>
      <c r="AC85" s="517"/>
      <c r="AD85" s="517"/>
    </row>
    <row r="86" spans="3:30">
      <c r="C86" s="517"/>
      <c r="D86" s="517"/>
      <c r="E86" s="517"/>
      <c r="F86" s="517"/>
      <c r="G86" s="517"/>
      <c r="H86" s="517"/>
      <c r="I86" s="517"/>
      <c r="J86" s="517"/>
      <c r="K86" s="517"/>
      <c r="L86" s="517"/>
      <c r="M86" s="517"/>
      <c r="N86" s="517"/>
      <c r="O86" s="517"/>
      <c r="P86" s="517"/>
      <c r="Q86" s="517"/>
      <c r="R86" s="517"/>
      <c r="S86" s="517"/>
      <c r="T86" s="517"/>
      <c r="U86" s="517"/>
      <c r="V86" s="517"/>
      <c r="W86" s="517"/>
      <c r="X86" s="517"/>
      <c r="Y86" s="517"/>
      <c r="Z86" s="517"/>
      <c r="AA86" s="517"/>
      <c r="AB86" s="517"/>
      <c r="AC86" s="517"/>
      <c r="AD86" s="517"/>
    </row>
    <row r="87" spans="3:30">
      <c r="C87" s="517"/>
      <c r="D87" s="517"/>
      <c r="E87" s="517"/>
      <c r="F87" s="517"/>
      <c r="G87" s="517"/>
      <c r="H87" s="517"/>
      <c r="I87" s="517"/>
      <c r="J87" s="517"/>
      <c r="K87" s="517"/>
      <c r="L87" s="517"/>
      <c r="M87" s="517"/>
      <c r="N87" s="517"/>
      <c r="O87" s="517"/>
      <c r="P87" s="517"/>
      <c r="Q87" s="517"/>
      <c r="R87" s="517"/>
      <c r="S87" s="517"/>
      <c r="T87" s="517"/>
      <c r="U87" s="517"/>
      <c r="V87" s="517"/>
      <c r="W87" s="517"/>
      <c r="X87" s="517"/>
      <c r="Y87" s="517"/>
      <c r="Z87" s="517"/>
      <c r="AA87" s="517"/>
      <c r="AB87" s="517"/>
      <c r="AC87" s="517"/>
      <c r="AD87" s="517"/>
    </row>
    <row r="88" spans="3:30">
      <c r="C88" s="517"/>
      <c r="D88" s="517"/>
      <c r="E88" s="517"/>
      <c r="F88" s="517"/>
      <c r="G88" s="517"/>
      <c r="H88" s="517"/>
      <c r="I88" s="517"/>
      <c r="J88" s="517"/>
      <c r="K88" s="517"/>
      <c r="L88" s="517"/>
      <c r="M88" s="517"/>
      <c r="N88" s="517"/>
      <c r="O88" s="517"/>
      <c r="P88" s="517"/>
      <c r="Q88" s="517"/>
      <c r="R88" s="517"/>
      <c r="S88" s="517"/>
      <c r="T88" s="517"/>
      <c r="U88" s="517"/>
      <c r="V88" s="517"/>
      <c r="W88" s="517"/>
      <c r="X88" s="517"/>
      <c r="Y88" s="517"/>
      <c r="Z88" s="517"/>
      <c r="AA88" s="517"/>
      <c r="AB88" s="517"/>
      <c r="AC88" s="517"/>
      <c r="AD88" s="517"/>
    </row>
    <row r="89" spans="3:30">
      <c r="C89" s="517"/>
      <c r="D89" s="517"/>
      <c r="E89" s="517"/>
      <c r="F89" s="517"/>
      <c r="G89" s="517"/>
      <c r="H89" s="517"/>
      <c r="I89" s="517"/>
      <c r="J89" s="517"/>
      <c r="K89" s="517"/>
      <c r="L89" s="517"/>
      <c r="M89" s="517"/>
      <c r="N89" s="517"/>
      <c r="O89" s="517"/>
      <c r="P89" s="517"/>
      <c r="Q89" s="517"/>
      <c r="R89" s="517"/>
      <c r="S89" s="517"/>
      <c r="T89" s="517"/>
      <c r="U89" s="517"/>
      <c r="V89" s="517"/>
      <c r="W89" s="517"/>
      <c r="X89" s="517"/>
      <c r="Y89" s="517"/>
      <c r="Z89" s="517"/>
      <c r="AA89" s="517"/>
      <c r="AB89" s="517"/>
      <c r="AC89" s="517"/>
      <c r="AD89" s="517"/>
    </row>
    <row r="90" spans="3:30">
      <c r="C90" s="517"/>
      <c r="D90" s="517"/>
      <c r="E90" s="517"/>
      <c r="F90" s="517"/>
      <c r="G90" s="517"/>
      <c r="H90" s="517"/>
      <c r="I90" s="517"/>
      <c r="J90" s="517"/>
      <c r="K90" s="517"/>
      <c r="L90" s="517"/>
      <c r="M90" s="517"/>
      <c r="N90" s="517"/>
      <c r="O90" s="517"/>
      <c r="P90" s="517"/>
      <c r="Q90" s="517"/>
      <c r="R90" s="517"/>
      <c r="S90" s="517"/>
      <c r="T90" s="517"/>
      <c r="U90" s="517"/>
      <c r="V90" s="517"/>
      <c r="W90" s="517"/>
      <c r="X90" s="517"/>
      <c r="Y90" s="517"/>
      <c r="Z90" s="517"/>
      <c r="AA90" s="517"/>
      <c r="AB90" s="517"/>
      <c r="AC90" s="517"/>
      <c r="AD90" s="517"/>
    </row>
    <row r="91" spans="3:30">
      <c r="C91" s="517"/>
      <c r="D91" s="517"/>
      <c r="E91" s="517"/>
      <c r="F91" s="517"/>
      <c r="G91" s="517"/>
      <c r="H91" s="517"/>
      <c r="I91" s="517"/>
      <c r="J91" s="517"/>
      <c r="K91" s="517"/>
      <c r="L91" s="517"/>
      <c r="M91" s="517"/>
      <c r="N91" s="517"/>
      <c r="O91" s="517"/>
      <c r="P91" s="517"/>
      <c r="Q91" s="517"/>
      <c r="R91" s="517"/>
      <c r="S91" s="517"/>
      <c r="T91" s="517"/>
      <c r="U91" s="517"/>
      <c r="V91" s="517"/>
      <c r="W91" s="517"/>
      <c r="X91" s="517"/>
      <c r="Y91" s="517"/>
      <c r="Z91" s="517"/>
      <c r="AA91" s="517"/>
      <c r="AB91" s="517"/>
      <c r="AC91" s="517"/>
      <c r="AD91" s="517"/>
    </row>
    <row r="92" spans="3:30">
      <c r="C92" s="517"/>
      <c r="D92" s="517"/>
      <c r="E92" s="517"/>
      <c r="F92" s="517"/>
      <c r="G92" s="517"/>
      <c r="H92" s="517"/>
      <c r="I92" s="517"/>
      <c r="J92" s="517"/>
      <c r="K92" s="517"/>
      <c r="L92" s="517"/>
      <c r="M92" s="517"/>
      <c r="N92" s="517"/>
      <c r="O92" s="517"/>
      <c r="P92" s="517"/>
      <c r="Q92" s="517"/>
      <c r="R92" s="517"/>
      <c r="S92" s="517"/>
      <c r="T92" s="517"/>
      <c r="U92" s="517"/>
      <c r="V92" s="517"/>
      <c r="W92" s="517"/>
      <c r="X92" s="517"/>
      <c r="Y92" s="517"/>
      <c r="Z92" s="517"/>
      <c r="AA92" s="517"/>
      <c r="AB92" s="517"/>
      <c r="AC92" s="517"/>
      <c r="AD92" s="517"/>
    </row>
    <row r="93" spans="3:30">
      <c r="C93" s="517"/>
      <c r="D93" s="517"/>
      <c r="E93" s="517"/>
      <c r="F93" s="517"/>
      <c r="G93" s="517"/>
      <c r="H93" s="517"/>
      <c r="I93" s="517"/>
      <c r="J93" s="517"/>
      <c r="K93" s="517"/>
      <c r="L93" s="517"/>
      <c r="M93" s="517"/>
      <c r="N93" s="517"/>
      <c r="O93" s="517"/>
      <c r="P93" s="517"/>
      <c r="Q93" s="517"/>
      <c r="R93" s="517"/>
      <c r="S93" s="517"/>
      <c r="T93" s="517"/>
      <c r="U93" s="517"/>
      <c r="V93" s="517"/>
      <c r="W93" s="517"/>
      <c r="X93" s="517"/>
      <c r="Y93" s="517"/>
      <c r="Z93" s="517"/>
      <c r="AA93" s="517"/>
      <c r="AB93" s="517"/>
      <c r="AC93" s="517"/>
      <c r="AD93" s="517"/>
    </row>
    <row r="94" spans="3:30">
      <c r="C94" s="517"/>
      <c r="D94" s="517"/>
      <c r="E94" s="517"/>
      <c r="F94" s="517"/>
      <c r="G94" s="517"/>
      <c r="H94" s="517"/>
      <c r="I94" s="517"/>
      <c r="J94" s="517"/>
      <c r="K94" s="517"/>
      <c r="L94" s="517"/>
      <c r="M94" s="517"/>
      <c r="N94" s="517"/>
      <c r="O94" s="517"/>
      <c r="P94" s="517"/>
      <c r="Q94" s="517"/>
      <c r="R94" s="517"/>
      <c r="S94" s="517"/>
      <c r="T94" s="517"/>
      <c r="U94" s="517"/>
      <c r="V94" s="517"/>
      <c r="W94" s="517"/>
      <c r="X94" s="517"/>
      <c r="Y94" s="517"/>
      <c r="Z94" s="517"/>
      <c r="AA94" s="517"/>
      <c r="AB94" s="517"/>
      <c r="AC94" s="517"/>
      <c r="AD94" s="517"/>
    </row>
    <row r="95" spans="3:30">
      <c r="C95" s="517"/>
      <c r="D95" s="517"/>
      <c r="E95" s="517"/>
      <c r="F95" s="517"/>
      <c r="G95" s="517"/>
      <c r="H95" s="517"/>
      <c r="I95" s="517"/>
      <c r="J95" s="517"/>
      <c r="K95" s="517"/>
      <c r="L95" s="517"/>
      <c r="M95" s="517"/>
      <c r="N95" s="517"/>
      <c r="O95" s="517"/>
      <c r="P95" s="517"/>
      <c r="Q95" s="517"/>
      <c r="R95" s="517"/>
      <c r="S95" s="517"/>
      <c r="T95" s="517"/>
      <c r="U95" s="517"/>
      <c r="V95" s="517"/>
      <c r="W95" s="517"/>
      <c r="X95" s="517"/>
      <c r="Y95" s="517"/>
      <c r="Z95" s="517"/>
      <c r="AA95" s="517"/>
      <c r="AB95" s="517"/>
      <c r="AC95" s="517"/>
      <c r="AD95" s="517"/>
    </row>
    <row r="96" spans="3:30">
      <c r="C96" s="517"/>
      <c r="D96" s="517"/>
      <c r="E96" s="517"/>
      <c r="F96" s="517"/>
      <c r="G96" s="517"/>
      <c r="H96" s="517"/>
      <c r="I96" s="517"/>
      <c r="J96" s="517"/>
      <c r="K96" s="517"/>
      <c r="L96" s="517"/>
      <c r="M96" s="517"/>
      <c r="N96" s="517"/>
      <c r="O96" s="517"/>
      <c r="P96" s="517"/>
      <c r="Q96" s="517"/>
      <c r="R96" s="517"/>
      <c r="S96" s="517"/>
      <c r="T96" s="517"/>
      <c r="U96" s="517"/>
      <c r="V96" s="517"/>
      <c r="W96" s="517"/>
      <c r="X96" s="517"/>
      <c r="Y96" s="517"/>
      <c r="Z96" s="517"/>
      <c r="AA96" s="517"/>
      <c r="AB96" s="517"/>
      <c r="AC96" s="517"/>
      <c r="AD96" s="517"/>
    </row>
    <row r="97" spans="3:30">
      <c r="C97" s="517"/>
      <c r="D97" s="517"/>
      <c r="E97" s="517"/>
      <c r="F97" s="517"/>
      <c r="G97" s="517"/>
      <c r="H97" s="517"/>
      <c r="I97" s="517"/>
      <c r="J97" s="517"/>
      <c r="K97" s="517"/>
      <c r="L97" s="517"/>
      <c r="M97" s="517"/>
      <c r="N97" s="517"/>
      <c r="O97" s="517"/>
      <c r="P97" s="517"/>
      <c r="Q97" s="517"/>
      <c r="R97" s="517"/>
      <c r="S97" s="517"/>
      <c r="T97" s="517"/>
      <c r="U97" s="517"/>
      <c r="V97" s="517"/>
      <c r="W97" s="517"/>
      <c r="X97" s="517"/>
      <c r="Y97" s="517"/>
      <c r="Z97" s="517"/>
      <c r="AA97" s="517"/>
      <c r="AB97" s="517"/>
      <c r="AC97" s="517"/>
      <c r="AD97" s="517"/>
    </row>
    <row r="98" spans="3:30">
      <c r="C98" s="517"/>
      <c r="D98" s="517"/>
      <c r="E98" s="517"/>
      <c r="F98" s="517"/>
      <c r="G98" s="517"/>
      <c r="H98" s="517"/>
      <c r="I98" s="517"/>
      <c r="J98" s="517"/>
      <c r="K98" s="517"/>
      <c r="L98" s="517"/>
      <c r="M98" s="517"/>
      <c r="N98" s="517"/>
      <c r="O98" s="517"/>
      <c r="P98" s="517"/>
      <c r="Q98" s="517"/>
      <c r="R98" s="517"/>
      <c r="S98" s="517"/>
      <c r="T98" s="517"/>
      <c r="U98" s="517"/>
      <c r="V98" s="517"/>
      <c r="W98" s="517"/>
      <c r="X98" s="517"/>
      <c r="Y98" s="517"/>
      <c r="Z98" s="517"/>
      <c r="AA98" s="517"/>
      <c r="AB98" s="517"/>
      <c r="AC98" s="517"/>
      <c r="AD98" s="517"/>
    </row>
    <row r="99" spans="3:30">
      <c r="C99" s="517"/>
      <c r="D99" s="517"/>
      <c r="E99" s="517"/>
      <c r="F99" s="517"/>
      <c r="G99" s="517"/>
      <c r="H99" s="517"/>
      <c r="I99" s="517"/>
      <c r="J99" s="517"/>
      <c r="K99" s="517"/>
      <c r="L99" s="517"/>
      <c r="M99" s="517"/>
      <c r="N99" s="517"/>
      <c r="O99" s="517"/>
      <c r="P99" s="517"/>
      <c r="Q99" s="517"/>
      <c r="R99" s="517"/>
      <c r="S99" s="517"/>
      <c r="T99" s="517"/>
      <c r="U99" s="517"/>
      <c r="V99" s="517"/>
      <c r="W99" s="517"/>
      <c r="X99" s="517"/>
      <c r="Y99" s="517"/>
      <c r="Z99" s="517"/>
      <c r="AA99" s="517"/>
      <c r="AB99" s="517"/>
      <c r="AC99" s="517"/>
      <c r="AD99" s="517"/>
    </row>
    <row r="100" spans="3:30">
      <c r="C100" s="517"/>
      <c r="D100" s="517"/>
      <c r="E100" s="517"/>
      <c r="F100" s="517"/>
      <c r="G100" s="517"/>
      <c r="H100" s="517"/>
      <c r="I100" s="517"/>
      <c r="J100" s="517"/>
      <c r="K100" s="517"/>
      <c r="L100" s="517"/>
      <c r="M100" s="517"/>
      <c r="N100" s="517"/>
      <c r="O100" s="517"/>
      <c r="P100" s="517"/>
      <c r="Q100" s="517"/>
      <c r="R100" s="517"/>
      <c r="S100" s="517"/>
      <c r="T100" s="517"/>
      <c r="U100" s="517"/>
      <c r="V100" s="517"/>
      <c r="W100" s="517"/>
      <c r="X100" s="517"/>
      <c r="Y100" s="517"/>
      <c r="Z100" s="517"/>
      <c r="AA100" s="517"/>
      <c r="AB100" s="517"/>
      <c r="AC100" s="517"/>
      <c r="AD100" s="517"/>
    </row>
    <row r="101" spans="3:30">
      <c r="C101" s="517"/>
      <c r="D101" s="517"/>
      <c r="E101" s="517"/>
      <c r="F101" s="517"/>
      <c r="G101" s="517"/>
      <c r="H101" s="517"/>
      <c r="I101" s="517"/>
      <c r="J101" s="517"/>
      <c r="K101" s="517"/>
      <c r="L101" s="517"/>
      <c r="M101" s="517"/>
      <c r="N101" s="517"/>
      <c r="O101" s="517"/>
      <c r="P101" s="517"/>
      <c r="Q101" s="517"/>
      <c r="R101" s="517"/>
      <c r="S101" s="517"/>
      <c r="T101" s="517"/>
      <c r="U101" s="517"/>
      <c r="V101" s="517"/>
      <c r="W101" s="517"/>
      <c r="X101" s="517"/>
      <c r="Y101" s="517"/>
      <c r="Z101" s="517"/>
      <c r="AA101" s="517"/>
      <c r="AB101" s="517"/>
      <c r="AC101" s="517"/>
      <c r="AD101" s="517"/>
    </row>
    <row r="102" spans="3:30">
      <c r="C102" s="517"/>
      <c r="D102" s="517"/>
      <c r="E102" s="517"/>
      <c r="F102" s="517"/>
      <c r="G102" s="517"/>
      <c r="H102" s="517"/>
      <c r="I102" s="517"/>
      <c r="J102" s="517"/>
      <c r="K102" s="517"/>
      <c r="L102" s="517"/>
      <c r="M102" s="517"/>
      <c r="N102" s="517"/>
      <c r="O102" s="517"/>
      <c r="P102" s="517"/>
      <c r="Q102" s="517"/>
      <c r="R102" s="517"/>
      <c r="S102" s="517"/>
      <c r="T102" s="517"/>
      <c r="U102" s="517"/>
      <c r="V102" s="517"/>
      <c r="W102" s="517"/>
      <c r="X102" s="517"/>
      <c r="Y102" s="517"/>
      <c r="Z102" s="517"/>
      <c r="AA102" s="517"/>
      <c r="AB102" s="517"/>
      <c r="AC102" s="517"/>
      <c r="AD102" s="517"/>
    </row>
    <row r="103" spans="3:30">
      <c r="C103" s="517"/>
      <c r="D103" s="517"/>
      <c r="E103" s="517"/>
      <c r="F103" s="517"/>
      <c r="G103" s="517"/>
      <c r="H103" s="517"/>
      <c r="I103" s="517"/>
      <c r="J103" s="517"/>
      <c r="K103" s="517"/>
      <c r="L103" s="517"/>
      <c r="M103" s="517"/>
      <c r="N103" s="517"/>
      <c r="O103" s="517"/>
      <c r="P103" s="517"/>
      <c r="Q103" s="517"/>
      <c r="R103" s="517"/>
      <c r="S103" s="517"/>
      <c r="T103" s="517"/>
      <c r="U103" s="517"/>
      <c r="V103" s="517"/>
      <c r="W103" s="517"/>
      <c r="X103" s="517"/>
      <c r="Y103" s="517"/>
      <c r="Z103" s="517"/>
      <c r="AA103" s="517"/>
      <c r="AB103" s="517"/>
      <c r="AC103" s="517"/>
      <c r="AD103" s="517"/>
    </row>
    <row r="104" spans="3:30">
      <c r="C104" s="517"/>
      <c r="D104" s="517"/>
      <c r="E104" s="517"/>
      <c r="F104" s="517"/>
      <c r="G104" s="517"/>
      <c r="H104" s="517"/>
      <c r="I104" s="517"/>
      <c r="J104" s="517"/>
      <c r="K104" s="517"/>
      <c r="L104" s="517"/>
      <c r="M104" s="517"/>
      <c r="N104" s="517"/>
      <c r="O104" s="517"/>
      <c r="P104" s="517"/>
      <c r="Q104" s="517"/>
      <c r="R104" s="517"/>
      <c r="S104" s="517"/>
      <c r="T104" s="517"/>
      <c r="U104" s="517"/>
      <c r="V104" s="517"/>
      <c r="W104" s="517"/>
      <c r="X104" s="517"/>
      <c r="Y104" s="517"/>
      <c r="Z104" s="517"/>
      <c r="AA104" s="517"/>
      <c r="AB104" s="517"/>
      <c r="AC104" s="517"/>
      <c r="AD104" s="517"/>
    </row>
    <row r="105" spans="3:30">
      <c r="C105" s="517"/>
      <c r="D105" s="517"/>
      <c r="E105" s="517"/>
      <c r="F105" s="517"/>
      <c r="G105" s="517"/>
      <c r="H105" s="517"/>
      <c r="I105" s="517"/>
      <c r="J105" s="517"/>
      <c r="K105" s="517"/>
      <c r="L105" s="517"/>
      <c r="M105" s="517"/>
      <c r="N105" s="517"/>
      <c r="O105" s="517"/>
      <c r="P105" s="517"/>
      <c r="Q105" s="517"/>
      <c r="R105" s="517"/>
      <c r="S105" s="517"/>
      <c r="T105" s="517"/>
      <c r="U105" s="517"/>
      <c r="V105" s="517"/>
      <c r="W105" s="517"/>
      <c r="X105" s="517"/>
      <c r="Y105" s="517"/>
      <c r="Z105" s="517"/>
      <c r="AA105" s="517"/>
      <c r="AB105" s="517"/>
      <c r="AC105" s="517"/>
      <c r="AD105" s="517"/>
    </row>
    <row r="106" spans="3:30">
      <c r="C106" s="517"/>
      <c r="D106" s="517"/>
      <c r="E106" s="517"/>
      <c r="F106" s="517"/>
      <c r="G106" s="517"/>
      <c r="H106" s="517"/>
      <c r="I106" s="517"/>
      <c r="J106" s="517"/>
      <c r="K106" s="517"/>
      <c r="L106" s="517"/>
      <c r="M106" s="517"/>
      <c r="N106" s="517"/>
      <c r="O106" s="517"/>
      <c r="P106" s="517"/>
      <c r="Q106" s="517"/>
      <c r="R106" s="517"/>
      <c r="S106" s="517"/>
      <c r="T106" s="517"/>
      <c r="U106" s="517"/>
      <c r="V106" s="517"/>
      <c r="W106" s="517"/>
      <c r="X106" s="517"/>
      <c r="Y106" s="517"/>
      <c r="Z106" s="517"/>
      <c r="AA106" s="517"/>
      <c r="AB106" s="517"/>
      <c r="AC106" s="517"/>
      <c r="AD106" s="517"/>
    </row>
    <row r="107" spans="3:30">
      <c r="C107" s="517"/>
      <c r="D107" s="517"/>
      <c r="E107" s="517"/>
      <c r="F107" s="517"/>
      <c r="G107" s="517"/>
      <c r="H107" s="517"/>
      <c r="I107" s="517"/>
      <c r="J107" s="517"/>
      <c r="K107" s="517"/>
      <c r="L107" s="517"/>
      <c r="M107" s="517"/>
      <c r="N107" s="517"/>
      <c r="O107" s="517"/>
      <c r="P107" s="517"/>
      <c r="Q107" s="517"/>
      <c r="R107" s="517"/>
      <c r="S107" s="517"/>
      <c r="T107" s="517"/>
      <c r="U107" s="517"/>
      <c r="V107" s="517"/>
      <c r="W107" s="517"/>
      <c r="X107" s="517"/>
      <c r="Y107" s="517"/>
      <c r="Z107" s="517"/>
      <c r="AA107" s="517"/>
      <c r="AB107" s="517"/>
      <c r="AC107" s="517"/>
      <c r="AD107" s="517"/>
    </row>
    <row r="108" spans="3:30">
      <c r="C108" s="517"/>
      <c r="D108" s="517"/>
      <c r="E108" s="517"/>
      <c r="F108" s="517"/>
      <c r="G108" s="517"/>
      <c r="H108" s="517"/>
      <c r="I108" s="517"/>
      <c r="J108" s="517"/>
      <c r="K108" s="517"/>
      <c r="L108" s="517"/>
      <c r="M108" s="517"/>
      <c r="N108" s="517"/>
      <c r="O108" s="517"/>
      <c r="P108" s="517"/>
      <c r="Q108" s="517"/>
      <c r="R108" s="517"/>
      <c r="S108" s="517"/>
      <c r="T108" s="517"/>
      <c r="U108" s="517"/>
      <c r="V108" s="517"/>
      <c r="W108" s="517"/>
      <c r="X108" s="517"/>
      <c r="Y108" s="517"/>
      <c r="Z108" s="517"/>
      <c r="AA108" s="517"/>
      <c r="AB108" s="517"/>
      <c r="AC108" s="517"/>
      <c r="AD108" s="517"/>
    </row>
    <row r="109" spans="3:30">
      <c r="C109" s="517"/>
      <c r="D109" s="517"/>
      <c r="E109" s="517"/>
      <c r="F109" s="517"/>
      <c r="G109" s="517"/>
      <c r="H109" s="517"/>
      <c r="I109" s="517"/>
      <c r="J109" s="517"/>
      <c r="K109" s="517"/>
      <c r="L109" s="517"/>
      <c r="M109" s="517"/>
      <c r="N109" s="517"/>
      <c r="O109" s="517"/>
      <c r="P109" s="517"/>
      <c r="Q109" s="517"/>
      <c r="R109" s="517"/>
      <c r="S109" s="517"/>
      <c r="T109" s="517"/>
      <c r="U109" s="517"/>
      <c r="V109" s="517"/>
      <c r="W109" s="517"/>
      <c r="X109" s="517"/>
      <c r="Y109" s="517"/>
      <c r="Z109" s="517"/>
      <c r="AA109" s="517"/>
      <c r="AB109" s="517"/>
      <c r="AC109" s="517"/>
      <c r="AD109" s="517"/>
    </row>
    <row r="110" spans="3:30">
      <c r="C110" s="517"/>
      <c r="D110" s="517"/>
      <c r="E110" s="517"/>
      <c r="F110" s="517"/>
      <c r="G110" s="517"/>
      <c r="H110" s="517"/>
      <c r="I110" s="517"/>
      <c r="J110" s="517"/>
      <c r="K110" s="517"/>
      <c r="L110" s="517"/>
      <c r="M110" s="517"/>
      <c r="N110" s="517"/>
      <c r="O110" s="517"/>
      <c r="P110" s="517"/>
      <c r="Q110" s="517"/>
      <c r="R110" s="517"/>
      <c r="S110" s="517"/>
      <c r="T110" s="517"/>
      <c r="U110" s="517"/>
      <c r="V110" s="517"/>
      <c r="W110" s="517"/>
      <c r="X110" s="517"/>
      <c r="Y110" s="517"/>
      <c r="Z110" s="517"/>
      <c r="AA110" s="517"/>
      <c r="AB110" s="517"/>
      <c r="AC110" s="517"/>
      <c r="AD110" s="517"/>
    </row>
    <row r="111" spans="3:30">
      <c r="C111" s="517"/>
      <c r="D111" s="517"/>
      <c r="E111" s="517"/>
      <c r="F111" s="517"/>
      <c r="G111" s="517"/>
      <c r="H111" s="517"/>
      <c r="I111" s="517"/>
      <c r="J111" s="517"/>
      <c r="K111" s="517"/>
      <c r="L111" s="517"/>
      <c r="M111" s="517"/>
      <c r="N111" s="517"/>
      <c r="O111" s="517"/>
      <c r="P111" s="517"/>
      <c r="Q111" s="517"/>
      <c r="R111" s="517"/>
      <c r="S111" s="517"/>
      <c r="T111" s="517"/>
      <c r="U111" s="517"/>
      <c r="V111" s="517"/>
      <c r="W111" s="517"/>
      <c r="X111" s="517"/>
      <c r="Y111" s="517"/>
      <c r="Z111" s="517"/>
      <c r="AA111" s="517"/>
      <c r="AB111" s="517"/>
      <c r="AC111" s="517"/>
      <c r="AD111" s="517"/>
    </row>
    <row r="112" spans="3:30">
      <c r="C112" s="517"/>
      <c r="D112" s="517"/>
      <c r="E112" s="517"/>
      <c r="F112" s="517"/>
      <c r="G112" s="517"/>
      <c r="H112" s="517"/>
      <c r="I112" s="517"/>
      <c r="J112" s="517"/>
      <c r="K112" s="517"/>
      <c r="L112" s="517"/>
      <c r="M112" s="517"/>
      <c r="N112" s="517"/>
      <c r="O112" s="517"/>
      <c r="P112" s="517"/>
      <c r="Q112" s="517"/>
      <c r="R112" s="517"/>
      <c r="S112" s="517"/>
      <c r="T112" s="517"/>
      <c r="U112" s="517"/>
      <c r="V112" s="517"/>
      <c r="W112" s="517"/>
      <c r="X112" s="517"/>
      <c r="Y112" s="517"/>
      <c r="Z112" s="517"/>
      <c r="AA112" s="517"/>
      <c r="AB112" s="517"/>
      <c r="AC112" s="517"/>
      <c r="AD112" s="517"/>
    </row>
    <row r="113" spans="3:30">
      <c r="C113" s="517"/>
      <c r="D113" s="517"/>
      <c r="E113" s="517"/>
      <c r="F113" s="517"/>
      <c r="G113" s="517"/>
      <c r="H113" s="517"/>
      <c r="I113" s="517"/>
      <c r="J113" s="517"/>
      <c r="K113" s="517"/>
      <c r="L113" s="517"/>
      <c r="M113" s="517"/>
      <c r="N113" s="517"/>
      <c r="O113" s="517"/>
      <c r="P113" s="517"/>
      <c r="Q113" s="517"/>
      <c r="R113" s="517"/>
      <c r="S113" s="517"/>
      <c r="T113" s="517"/>
      <c r="U113" s="517"/>
      <c r="V113" s="517"/>
      <c r="W113" s="517"/>
      <c r="X113" s="517"/>
      <c r="Y113" s="517"/>
      <c r="Z113" s="517"/>
      <c r="AA113" s="517"/>
      <c r="AB113" s="517"/>
      <c r="AC113" s="517"/>
      <c r="AD113" s="517"/>
    </row>
    <row r="114" spans="3:30">
      <c r="C114" s="517"/>
      <c r="D114" s="517"/>
      <c r="E114" s="517"/>
      <c r="F114" s="517"/>
      <c r="G114" s="517"/>
      <c r="H114" s="517"/>
      <c r="I114" s="517"/>
      <c r="J114" s="517"/>
      <c r="K114" s="517"/>
      <c r="L114" s="517"/>
      <c r="M114" s="517"/>
      <c r="N114" s="517"/>
      <c r="O114" s="517"/>
      <c r="P114" s="517"/>
      <c r="Q114" s="517"/>
      <c r="R114" s="517"/>
      <c r="S114" s="517"/>
      <c r="T114" s="517"/>
      <c r="U114" s="517"/>
      <c r="V114" s="517"/>
      <c r="W114" s="517"/>
      <c r="X114" s="517"/>
      <c r="Y114" s="517"/>
      <c r="Z114" s="517"/>
      <c r="AA114" s="517"/>
      <c r="AB114" s="517"/>
      <c r="AC114" s="517"/>
      <c r="AD114" s="517"/>
    </row>
    <row r="115" spans="3:30">
      <c r="C115" s="517"/>
      <c r="D115" s="517"/>
      <c r="E115" s="517"/>
      <c r="F115" s="517"/>
      <c r="G115" s="517"/>
      <c r="H115" s="517"/>
      <c r="I115" s="517"/>
      <c r="J115" s="517"/>
      <c r="K115" s="517"/>
      <c r="L115" s="517"/>
      <c r="M115" s="517"/>
      <c r="N115" s="517"/>
      <c r="O115" s="517"/>
      <c r="P115" s="517"/>
      <c r="Q115" s="517"/>
      <c r="R115" s="517"/>
      <c r="S115" s="517"/>
      <c r="T115" s="517"/>
      <c r="U115" s="517"/>
      <c r="V115" s="517"/>
      <c r="W115" s="517"/>
      <c r="X115" s="517"/>
      <c r="Y115" s="517"/>
      <c r="Z115" s="517"/>
      <c r="AA115" s="517"/>
      <c r="AB115" s="517"/>
      <c r="AC115" s="517"/>
      <c r="AD115" s="517"/>
    </row>
    <row r="116" spans="3:30">
      <c r="C116" s="517"/>
      <c r="D116" s="517"/>
      <c r="E116" s="517"/>
      <c r="F116" s="517"/>
      <c r="G116" s="517"/>
      <c r="H116" s="517"/>
      <c r="I116" s="517"/>
      <c r="J116" s="517"/>
      <c r="K116" s="517"/>
      <c r="L116" s="517"/>
      <c r="M116" s="517"/>
      <c r="N116" s="517"/>
      <c r="O116" s="517"/>
      <c r="P116" s="517"/>
      <c r="Q116" s="517"/>
      <c r="R116" s="517"/>
      <c r="S116" s="517"/>
      <c r="T116" s="517"/>
      <c r="U116" s="517"/>
      <c r="V116" s="517"/>
      <c r="W116" s="517"/>
      <c r="X116" s="517"/>
      <c r="Y116" s="517"/>
      <c r="Z116" s="517"/>
      <c r="AA116" s="517"/>
      <c r="AB116" s="517"/>
      <c r="AC116" s="517"/>
      <c r="AD116" s="517"/>
    </row>
    <row r="117" spans="3:30">
      <c r="C117" s="517"/>
      <c r="D117" s="517"/>
      <c r="E117" s="517"/>
      <c r="F117" s="517"/>
      <c r="G117" s="517"/>
      <c r="H117" s="517"/>
      <c r="I117" s="517"/>
      <c r="J117" s="517"/>
      <c r="K117" s="517"/>
      <c r="L117" s="517"/>
      <c r="M117" s="517"/>
      <c r="N117" s="517"/>
      <c r="O117" s="517"/>
      <c r="P117" s="517"/>
      <c r="Q117" s="517"/>
      <c r="R117" s="517"/>
      <c r="S117" s="517"/>
      <c r="T117" s="517"/>
      <c r="U117" s="517"/>
      <c r="V117" s="517"/>
      <c r="W117" s="517"/>
      <c r="X117" s="517"/>
      <c r="Y117" s="517"/>
      <c r="Z117" s="517"/>
      <c r="AA117" s="517"/>
      <c r="AB117" s="517"/>
      <c r="AC117" s="517"/>
      <c r="AD117" s="517"/>
    </row>
    <row r="118" spans="3:30">
      <c r="C118" s="517"/>
      <c r="D118" s="517"/>
      <c r="E118" s="517"/>
      <c r="F118" s="517"/>
      <c r="G118" s="517"/>
      <c r="H118" s="517"/>
      <c r="I118" s="517"/>
      <c r="J118" s="517"/>
      <c r="K118" s="517"/>
      <c r="L118" s="517"/>
      <c r="M118" s="517"/>
      <c r="N118" s="517"/>
      <c r="O118" s="517"/>
      <c r="P118" s="517"/>
      <c r="Q118" s="517"/>
      <c r="R118" s="517"/>
      <c r="S118" s="517"/>
      <c r="T118" s="517"/>
      <c r="U118" s="517"/>
      <c r="V118" s="517"/>
      <c r="W118" s="517"/>
      <c r="X118" s="517"/>
      <c r="Y118" s="517"/>
      <c r="Z118" s="517"/>
      <c r="AA118" s="517"/>
      <c r="AB118" s="517"/>
      <c r="AC118" s="517"/>
      <c r="AD118" s="517"/>
    </row>
    <row r="119" spans="3:30">
      <c r="C119" s="517"/>
      <c r="D119" s="517"/>
      <c r="E119" s="517"/>
      <c r="F119" s="517"/>
      <c r="G119" s="517"/>
      <c r="H119" s="517"/>
      <c r="I119" s="517"/>
      <c r="J119" s="517"/>
      <c r="K119" s="517"/>
      <c r="L119" s="517"/>
      <c r="M119" s="517"/>
      <c r="N119" s="517"/>
      <c r="O119" s="517"/>
      <c r="P119" s="517"/>
      <c r="Q119" s="517"/>
      <c r="R119" s="517"/>
      <c r="S119" s="517"/>
      <c r="T119" s="517"/>
      <c r="U119" s="517"/>
      <c r="V119" s="517"/>
      <c r="W119" s="517"/>
      <c r="X119" s="517"/>
      <c r="Y119" s="517"/>
      <c r="Z119" s="517"/>
      <c r="AA119" s="517"/>
      <c r="AB119" s="517"/>
      <c r="AC119" s="517"/>
      <c r="AD119" s="517"/>
    </row>
    <row r="120" spans="3:30">
      <c r="C120" s="517"/>
      <c r="D120" s="517"/>
      <c r="E120" s="517"/>
      <c r="F120" s="517"/>
      <c r="G120" s="517"/>
      <c r="H120" s="517"/>
      <c r="I120" s="517"/>
      <c r="J120" s="517"/>
      <c r="K120" s="517"/>
      <c r="L120" s="517"/>
      <c r="M120" s="517"/>
      <c r="N120" s="517"/>
      <c r="O120" s="517"/>
      <c r="P120" s="517"/>
      <c r="Q120" s="517"/>
      <c r="R120" s="517"/>
      <c r="S120" s="517"/>
      <c r="T120" s="517"/>
      <c r="U120" s="517"/>
      <c r="V120" s="517"/>
      <c r="W120" s="517"/>
      <c r="X120" s="517"/>
      <c r="Y120" s="517"/>
      <c r="Z120" s="517"/>
      <c r="AA120" s="517"/>
      <c r="AB120" s="517"/>
      <c r="AC120" s="517"/>
      <c r="AD120" s="517"/>
    </row>
    <row r="121" spans="3:30">
      <c r="C121" s="517"/>
      <c r="D121" s="517"/>
      <c r="E121" s="517"/>
      <c r="F121" s="517"/>
      <c r="G121" s="517"/>
      <c r="H121" s="517"/>
      <c r="I121" s="517"/>
      <c r="J121" s="517"/>
      <c r="K121" s="517"/>
      <c r="L121" s="517"/>
      <c r="M121" s="517"/>
      <c r="N121" s="517"/>
      <c r="O121" s="517"/>
      <c r="P121" s="517"/>
      <c r="Q121" s="517"/>
      <c r="R121" s="517"/>
      <c r="S121" s="517"/>
      <c r="T121" s="517"/>
      <c r="U121" s="517"/>
      <c r="V121" s="517"/>
      <c r="W121" s="517"/>
      <c r="X121" s="517"/>
      <c r="Y121" s="517"/>
      <c r="Z121" s="517"/>
      <c r="AA121" s="517"/>
      <c r="AB121" s="517"/>
      <c r="AC121" s="517"/>
      <c r="AD121" s="517"/>
    </row>
    <row r="122" spans="3:30">
      <c r="C122" s="517"/>
      <c r="D122" s="517"/>
      <c r="E122" s="517"/>
      <c r="F122" s="517"/>
      <c r="G122" s="517"/>
      <c r="H122" s="517"/>
      <c r="I122" s="517"/>
      <c r="J122" s="517"/>
      <c r="K122" s="517"/>
      <c r="L122" s="517"/>
      <c r="M122" s="517"/>
      <c r="N122" s="517"/>
      <c r="O122" s="517"/>
      <c r="P122" s="517"/>
      <c r="Q122" s="517"/>
      <c r="R122" s="517"/>
      <c r="S122" s="517"/>
      <c r="T122" s="517"/>
      <c r="U122" s="517"/>
      <c r="V122" s="517"/>
      <c r="W122" s="517"/>
      <c r="X122" s="517"/>
      <c r="Y122" s="517"/>
      <c r="Z122" s="517"/>
      <c r="AA122" s="517"/>
      <c r="AB122" s="517"/>
      <c r="AC122" s="517"/>
      <c r="AD122" s="517"/>
    </row>
    <row r="123" spans="3:30">
      <c r="C123" s="517"/>
      <c r="D123" s="517"/>
      <c r="E123" s="517"/>
      <c r="F123" s="517"/>
      <c r="G123" s="517"/>
      <c r="H123" s="517"/>
      <c r="I123" s="517"/>
      <c r="J123" s="517"/>
      <c r="K123" s="517"/>
      <c r="L123" s="517"/>
      <c r="M123" s="517"/>
      <c r="N123" s="517"/>
      <c r="O123" s="517"/>
      <c r="P123" s="517"/>
      <c r="Q123" s="517"/>
      <c r="R123" s="517"/>
      <c r="S123" s="517"/>
      <c r="T123" s="517"/>
      <c r="U123" s="517"/>
      <c r="V123" s="517"/>
      <c r="W123" s="517"/>
      <c r="X123" s="517"/>
      <c r="Y123" s="517"/>
      <c r="Z123" s="517"/>
      <c r="AA123" s="517"/>
      <c r="AB123" s="517"/>
      <c r="AC123" s="517"/>
      <c r="AD123" s="517"/>
    </row>
    <row r="124" spans="3:30">
      <c r="C124" s="517"/>
      <c r="D124" s="517"/>
      <c r="E124" s="517"/>
      <c r="F124" s="517"/>
      <c r="G124" s="517"/>
      <c r="H124" s="517"/>
      <c r="I124" s="517"/>
      <c r="J124" s="517"/>
      <c r="K124" s="517"/>
      <c r="L124" s="517"/>
      <c r="M124" s="517"/>
      <c r="N124" s="517"/>
      <c r="O124" s="517"/>
      <c r="P124" s="517"/>
      <c r="Q124" s="517"/>
      <c r="R124" s="517"/>
      <c r="S124" s="517"/>
      <c r="T124" s="517"/>
      <c r="U124" s="517"/>
      <c r="V124" s="517"/>
      <c r="W124" s="517"/>
      <c r="X124" s="517"/>
      <c r="Y124" s="517"/>
      <c r="Z124" s="517"/>
      <c r="AA124" s="517"/>
      <c r="AB124" s="517"/>
      <c r="AC124" s="517"/>
      <c r="AD124" s="517"/>
    </row>
    <row r="125" spans="3:30">
      <c r="C125" s="517"/>
      <c r="D125" s="517"/>
      <c r="E125" s="517"/>
      <c r="F125" s="517"/>
      <c r="G125" s="517"/>
      <c r="H125" s="517"/>
      <c r="I125" s="517"/>
      <c r="J125" s="517"/>
      <c r="K125" s="517"/>
      <c r="L125" s="517"/>
      <c r="M125" s="517"/>
      <c r="N125" s="517"/>
      <c r="O125" s="517"/>
      <c r="P125" s="517"/>
      <c r="Q125" s="517"/>
      <c r="R125" s="517"/>
      <c r="S125" s="517"/>
      <c r="T125" s="517"/>
      <c r="U125" s="517"/>
      <c r="V125" s="517"/>
      <c r="W125" s="517"/>
      <c r="X125" s="517"/>
      <c r="Y125" s="517"/>
      <c r="Z125" s="517"/>
      <c r="AA125" s="517"/>
      <c r="AB125" s="517"/>
      <c r="AC125" s="517"/>
      <c r="AD125" s="517"/>
    </row>
    <row r="126" spans="3:30">
      <c r="C126" s="517"/>
      <c r="D126" s="517"/>
      <c r="E126" s="517"/>
      <c r="F126" s="517"/>
      <c r="G126" s="517"/>
      <c r="H126" s="517"/>
      <c r="I126" s="517"/>
      <c r="J126" s="517"/>
      <c r="K126" s="517"/>
      <c r="L126" s="517"/>
      <c r="M126" s="517"/>
      <c r="N126" s="517"/>
      <c r="O126" s="517"/>
      <c r="P126" s="517"/>
      <c r="Q126" s="517"/>
      <c r="R126" s="517"/>
      <c r="S126" s="517"/>
      <c r="T126" s="517"/>
      <c r="U126" s="517"/>
      <c r="V126" s="517"/>
      <c r="W126" s="517"/>
      <c r="X126" s="517"/>
      <c r="Y126" s="517"/>
      <c r="Z126" s="517"/>
      <c r="AA126" s="517"/>
      <c r="AB126" s="517"/>
      <c r="AC126" s="517"/>
      <c r="AD126" s="517"/>
    </row>
    <row r="127" spans="3:30">
      <c r="C127" s="517"/>
      <c r="D127" s="517"/>
      <c r="E127" s="517"/>
      <c r="F127" s="517"/>
      <c r="G127" s="517"/>
      <c r="H127" s="517"/>
      <c r="I127" s="517"/>
      <c r="J127" s="517"/>
      <c r="K127" s="517"/>
      <c r="L127" s="517"/>
      <c r="M127" s="517"/>
      <c r="N127" s="517"/>
      <c r="O127" s="517"/>
      <c r="P127" s="517"/>
      <c r="Q127" s="517"/>
      <c r="R127" s="517"/>
      <c r="S127" s="517"/>
      <c r="T127" s="517"/>
      <c r="U127" s="517"/>
      <c r="V127" s="517"/>
      <c r="W127" s="517"/>
      <c r="X127" s="517"/>
      <c r="Y127" s="517"/>
      <c r="Z127" s="517"/>
      <c r="AA127" s="517"/>
      <c r="AB127" s="517"/>
      <c r="AC127" s="517"/>
      <c r="AD127" s="517"/>
    </row>
    <row r="128" spans="3:30">
      <c r="C128" s="517"/>
      <c r="D128" s="517"/>
      <c r="E128" s="517"/>
      <c r="F128" s="517"/>
      <c r="G128" s="517"/>
      <c r="H128" s="517"/>
      <c r="I128" s="517"/>
      <c r="J128" s="517"/>
      <c r="K128" s="517"/>
      <c r="L128" s="517"/>
      <c r="M128" s="517"/>
      <c r="N128" s="517"/>
      <c r="O128" s="517"/>
      <c r="P128" s="517"/>
      <c r="Q128" s="517"/>
      <c r="R128" s="517"/>
      <c r="S128" s="517"/>
      <c r="T128" s="517"/>
      <c r="U128" s="517"/>
      <c r="V128" s="517"/>
      <c r="W128" s="517"/>
      <c r="X128" s="517"/>
      <c r="Y128" s="517"/>
      <c r="Z128" s="517"/>
      <c r="AA128" s="517"/>
      <c r="AB128" s="517"/>
      <c r="AC128" s="517"/>
      <c r="AD128" s="517"/>
    </row>
    <row r="129" spans="3:30">
      <c r="C129" s="517"/>
      <c r="D129" s="517"/>
      <c r="E129" s="517"/>
      <c r="F129" s="517"/>
      <c r="G129" s="517"/>
      <c r="H129" s="517"/>
      <c r="I129" s="517"/>
      <c r="J129" s="517"/>
      <c r="K129" s="517"/>
      <c r="L129" s="517"/>
      <c r="M129" s="517"/>
      <c r="N129" s="517"/>
      <c r="O129" s="517"/>
      <c r="P129" s="517"/>
      <c r="Q129" s="517"/>
      <c r="R129" s="517"/>
      <c r="S129" s="517"/>
      <c r="T129" s="517"/>
      <c r="U129" s="517"/>
      <c r="V129" s="517"/>
      <c r="W129" s="517"/>
      <c r="X129" s="517"/>
      <c r="Y129" s="517"/>
      <c r="Z129" s="517"/>
      <c r="AA129" s="517"/>
      <c r="AB129" s="517"/>
      <c r="AC129" s="517"/>
      <c r="AD129" s="517"/>
    </row>
    <row r="130" spans="3:30">
      <c r="C130" s="517"/>
      <c r="D130" s="517"/>
      <c r="E130" s="517"/>
      <c r="F130" s="517"/>
      <c r="G130" s="517"/>
      <c r="H130" s="517"/>
      <c r="I130" s="517"/>
      <c r="J130" s="517"/>
      <c r="K130" s="517"/>
      <c r="L130" s="517"/>
      <c r="M130" s="517"/>
      <c r="N130" s="517"/>
      <c r="O130" s="517"/>
      <c r="P130" s="517"/>
      <c r="Q130" s="517"/>
      <c r="R130" s="517"/>
      <c r="S130" s="517"/>
      <c r="T130" s="517"/>
      <c r="U130" s="517"/>
      <c r="V130" s="517"/>
      <c r="W130" s="517"/>
      <c r="X130" s="517"/>
      <c r="Y130" s="517"/>
      <c r="Z130" s="517"/>
      <c r="AA130" s="517"/>
      <c r="AB130" s="517"/>
      <c r="AC130" s="517"/>
      <c r="AD130" s="517"/>
    </row>
    <row r="131" spans="3:30">
      <c r="C131" s="517"/>
      <c r="D131" s="517"/>
      <c r="E131" s="517"/>
      <c r="F131" s="517"/>
      <c r="G131" s="517"/>
      <c r="H131" s="517"/>
      <c r="I131" s="517"/>
      <c r="J131" s="517"/>
      <c r="K131" s="517"/>
      <c r="L131" s="517"/>
      <c r="M131" s="517"/>
      <c r="N131" s="517"/>
      <c r="O131" s="517"/>
      <c r="P131" s="517"/>
      <c r="Q131" s="517"/>
      <c r="R131" s="517"/>
      <c r="S131" s="517"/>
      <c r="T131" s="517"/>
      <c r="U131" s="517"/>
      <c r="V131" s="517"/>
      <c r="W131" s="517"/>
      <c r="X131" s="517"/>
      <c r="Y131" s="517"/>
      <c r="Z131" s="517"/>
      <c r="AA131" s="517"/>
      <c r="AB131" s="517"/>
      <c r="AC131" s="517"/>
      <c r="AD131" s="517"/>
    </row>
    <row r="132" spans="3:30">
      <c r="C132" s="517"/>
      <c r="D132" s="517"/>
      <c r="E132" s="517"/>
      <c r="F132" s="517"/>
      <c r="G132" s="517"/>
      <c r="H132" s="517"/>
      <c r="I132" s="517"/>
      <c r="J132" s="517"/>
      <c r="K132" s="517"/>
      <c r="L132" s="517"/>
      <c r="M132" s="517"/>
      <c r="N132" s="517"/>
      <c r="O132" s="517"/>
      <c r="P132" s="517"/>
      <c r="Q132" s="517"/>
      <c r="R132" s="517"/>
      <c r="S132" s="517"/>
      <c r="T132" s="517"/>
      <c r="U132" s="517"/>
      <c r="V132" s="517"/>
      <c r="W132" s="517"/>
      <c r="X132" s="517"/>
      <c r="Y132" s="517"/>
      <c r="Z132" s="517"/>
      <c r="AA132" s="517"/>
      <c r="AB132" s="517"/>
      <c r="AC132" s="517"/>
      <c r="AD132" s="517"/>
    </row>
    <row r="133" spans="3:30">
      <c r="C133" s="517"/>
      <c r="D133" s="517"/>
      <c r="E133" s="517"/>
      <c r="F133" s="517"/>
      <c r="G133" s="517"/>
      <c r="H133" s="517"/>
      <c r="I133" s="517"/>
      <c r="J133" s="517"/>
      <c r="K133" s="517"/>
      <c r="L133" s="517"/>
      <c r="M133" s="517"/>
      <c r="N133" s="517"/>
      <c r="O133" s="517"/>
      <c r="P133" s="517"/>
      <c r="Q133" s="517"/>
      <c r="R133" s="517"/>
      <c r="S133" s="517"/>
      <c r="T133" s="517"/>
      <c r="U133" s="517"/>
      <c r="V133" s="517"/>
      <c r="W133" s="517"/>
      <c r="X133" s="517"/>
      <c r="Y133" s="517"/>
      <c r="Z133" s="517"/>
      <c r="AA133" s="517"/>
      <c r="AB133" s="517"/>
      <c r="AC133" s="517"/>
      <c r="AD133" s="517"/>
    </row>
    <row r="134" spans="3:30">
      <c r="C134" s="517"/>
      <c r="D134" s="517"/>
      <c r="E134" s="517"/>
      <c r="F134" s="517"/>
      <c r="G134" s="517"/>
      <c r="H134" s="517"/>
      <c r="I134" s="517"/>
      <c r="J134" s="517"/>
      <c r="K134" s="517"/>
      <c r="L134" s="517"/>
      <c r="M134" s="517"/>
      <c r="N134" s="517"/>
      <c r="O134" s="517"/>
      <c r="P134" s="517"/>
      <c r="Q134" s="517"/>
      <c r="R134" s="517"/>
      <c r="S134" s="517"/>
      <c r="T134" s="517"/>
      <c r="U134" s="517"/>
      <c r="V134" s="517"/>
      <c r="W134" s="517"/>
      <c r="X134" s="517"/>
      <c r="Y134" s="517"/>
      <c r="Z134" s="517"/>
      <c r="AA134" s="517"/>
      <c r="AB134" s="517"/>
      <c r="AC134" s="517"/>
      <c r="AD134" s="517"/>
    </row>
    <row r="135" spans="3:30">
      <c r="C135" s="517"/>
      <c r="D135" s="517"/>
      <c r="E135" s="517"/>
      <c r="F135" s="517"/>
      <c r="G135" s="517"/>
      <c r="H135" s="517"/>
      <c r="I135" s="517"/>
      <c r="J135" s="517"/>
      <c r="K135" s="517"/>
      <c r="L135" s="517"/>
      <c r="M135" s="517"/>
      <c r="N135" s="517"/>
      <c r="O135" s="517"/>
      <c r="P135" s="517"/>
      <c r="Q135" s="517"/>
      <c r="R135" s="517"/>
      <c r="S135" s="517"/>
      <c r="T135" s="517"/>
      <c r="U135" s="517"/>
      <c r="V135" s="517"/>
      <c r="W135" s="517"/>
      <c r="X135" s="517"/>
      <c r="Y135" s="517"/>
      <c r="Z135" s="517"/>
      <c r="AA135" s="517"/>
      <c r="AB135" s="517"/>
      <c r="AC135" s="517"/>
      <c r="AD135" s="517"/>
    </row>
    <row r="136" spans="3:30">
      <c r="C136" s="517"/>
      <c r="D136" s="517"/>
      <c r="E136" s="517"/>
      <c r="F136" s="517"/>
      <c r="G136" s="517"/>
      <c r="H136" s="517"/>
      <c r="I136" s="517"/>
      <c r="J136" s="517"/>
      <c r="K136" s="517"/>
      <c r="L136" s="517"/>
      <c r="M136" s="517"/>
      <c r="N136" s="517"/>
      <c r="O136" s="517"/>
      <c r="P136" s="517"/>
      <c r="Q136" s="517"/>
      <c r="R136" s="517"/>
      <c r="S136" s="517"/>
      <c r="T136" s="517"/>
      <c r="U136" s="517"/>
      <c r="V136" s="517"/>
      <c r="W136" s="517"/>
      <c r="X136" s="517"/>
      <c r="Y136" s="517"/>
      <c r="Z136" s="517"/>
      <c r="AA136" s="517"/>
      <c r="AB136" s="517"/>
      <c r="AC136" s="517"/>
      <c r="AD136" s="517"/>
    </row>
    <row r="137" spans="3:30">
      <c r="C137" s="517"/>
      <c r="D137" s="517"/>
      <c r="E137" s="517"/>
      <c r="F137" s="517"/>
      <c r="G137" s="517"/>
      <c r="H137" s="517"/>
      <c r="I137" s="517"/>
      <c r="J137" s="517"/>
      <c r="K137" s="517"/>
      <c r="L137" s="517"/>
      <c r="M137" s="517"/>
      <c r="N137" s="517"/>
      <c r="O137" s="517"/>
      <c r="P137" s="517"/>
      <c r="Q137" s="517"/>
      <c r="R137" s="517"/>
      <c r="S137" s="517"/>
      <c r="T137" s="517"/>
      <c r="U137" s="517"/>
      <c r="V137" s="517"/>
      <c r="W137" s="517"/>
      <c r="X137" s="517"/>
      <c r="Y137" s="517"/>
      <c r="Z137" s="517"/>
      <c r="AA137" s="517"/>
      <c r="AB137" s="517"/>
      <c r="AC137" s="517"/>
      <c r="AD137" s="517"/>
    </row>
    <row r="138" spans="3:30">
      <c r="C138" s="517"/>
      <c r="D138" s="517"/>
      <c r="E138" s="517"/>
      <c r="F138" s="517"/>
      <c r="G138" s="517"/>
      <c r="H138" s="517"/>
      <c r="I138" s="517"/>
      <c r="J138" s="517"/>
      <c r="K138" s="517"/>
      <c r="L138" s="517"/>
      <c r="M138" s="517"/>
      <c r="N138" s="517"/>
      <c r="O138" s="517"/>
      <c r="P138" s="517"/>
      <c r="Q138" s="517"/>
      <c r="R138" s="517"/>
      <c r="S138" s="517"/>
      <c r="T138" s="517"/>
      <c r="U138" s="517"/>
      <c r="V138" s="517"/>
      <c r="W138" s="517"/>
      <c r="X138" s="517"/>
      <c r="Y138" s="517"/>
      <c r="Z138" s="517"/>
      <c r="AA138" s="517"/>
      <c r="AB138" s="517"/>
      <c r="AC138" s="517"/>
      <c r="AD138" s="517"/>
    </row>
    <row r="139" spans="3:30">
      <c r="C139" s="517"/>
      <c r="D139" s="517"/>
      <c r="E139" s="517"/>
      <c r="F139" s="517"/>
      <c r="G139" s="517"/>
      <c r="H139" s="517"/>
      <c r="I139" s="517"/>
      <c r="J139" s="517"/>
      <c r="K139" s="517"/>
      <c r="L139" s="517"/>
      <c r="M139" s="517"/>
      <c r="N139" s="517"/>
      <c r="O139" s="517"/>
      <c r="P139" s="517"/>
      <c r="Q139" s="517"/>
      <c r="R139" s="517"/>
      <c r="S139" s="517"/>
      <c r="T139" s="517"/>
      <c r="U139" s="517"/>
      <c r="V139" s="517"/>
      <c r="W139" s="517"/>
      <c r="X139" s="517"/>
      <c r="Y139" s="517"/>
      <c r="Z139" s="517"/>
      <c r="AA139" s="517"/>
      <c r="AB139" s="517"/>
      <c r="AC139" s="517"/>
      <c r="AD139" s="517"/>
    </row>
    <row r="140" spans="3:30">
      <c r="C140" s="517"/>
      <c r="D140" s="517"/>
      <c r="E140" s="517"/>
      <c r="F140" s="517"/>
      <c r="G140" s="517"/>
      <c r="H140" s="517"/>
      <c r="I140" s="517"/>
      <c r="J140" s="517"/>
      <c r="K140" s="517"/>
      <c r="L140" s="517"/>
      <c r="M140" s="517"/>
      <c r="N140" s="517"/>
      <c r="O140" s="517"/>
      <c r="P140" s="517"/>
      <c r="Q140" s="517"/>
      <c r="R140" s="517"/>
      <c r="S140" s="517"/>
      <c r="T140" s="517"/>
      <c r="U140" s="517"/>
      <c r="V140" s="517"/>
      <c r="W140" s="517"/>
      <c r="X140" s="517"/>
      <c r="Y140" s="517"/>
      <c r="Z140" s="517"/>
      <c r="AA140" s="517"/>
      <c r="AB140" s="517"/>
      <c r="AC140" s="517"/>
      <c r="AD140" s="517"/>
    </row>
    <row r="141" spans="3:30">
      <c r="C141" s="517"/>
      <c r="D141" s="517"/>
      <c r="E141" s="517"/>
      <c r="F141" s="517"/>
      <c r="G141" s="517"/>
      <c r="H141" s="517"/>
      <c r="I141" s="517"/>
      <c r="J141" s="517"/>
      <c r="K141" s="517"/>
      <c r="L141" s="517"/>
      <c r="M141" s="517"/>
      <c r="N141" s="517"/>
      <c r="O141" s="517"/>
      <c r="P141" s="517"/>
      <c r="Q141" s="517"/>
      <c r="R141" s="517"/>
      <c r="S141" s="517"/>
      <c r="T141" s="517"/>
      <c r="U141" s="517"/>
      <c r="V141" s="517"/>
      <c r="W141" s="517"/>
      <c r="X141" s="517"/>
      <c r="Y141" s="517"/>
      <c r="Z141" s="517"/>
      <c r="AA141" s="517"/>
      <c r="AB141" s="517"/>
      <c r="AC141" s="517"/>
      <c r="AD141" s="517"/>
    </row>
    <row r="142" spans="3:30">
      <c r="C142" s="517"/>
      <c r="D142" s="517"/>
      <c r="E142" s="517"/>
      <c r="F142" s="517"/>
      <c r="G142" s="517"/>
      <c r="H142" s="517"/>
      <c r="I142" s="517"/>
      <c r="J142" s="517"/>
      <c r="K142" s="517"/>
      <c r="L142" s="517"/>
      <c r="M142" s="517"/>
      <c r="N142" s="517"/>
      <c r="O142" s="517"/>
      <c r="P142" s="517"/>
      <c r="Q142" s="517"/>
      <c r="R142" s="517"/>
      <c r="S142" s="517"/>
      <c r="T142" s="517"/>
      <c r="U142" s="517"/>
      <c r="V142" s="517"/>
      <c r="W142" s="517"/>
      <c r="X142" s="517"/>
      <c r="Y142" s="517"/>
      <c r="Z142" s="517"/>
      <c r="AA142" s="517"/>
      <c r="AB142" s="517"/>
      <c r="AC142" s="517"/>
      <c r="AD142" s="517"/>
    </row>
    <row r="143" spans="3:30">
      <c r="C143" s="517"/>
      <c r="D143" s="517"/>
      <c r="E143" s="517"/>
      <c r="F143" s="517"/>
      <c r="G143" s="517"/>
      <c r="H143" s="517"/>
      <c r="I143" s="517"/>
      <c r="J143" s="517"/>
      <c r="K143" s="517"/>
      <c r="L143" s="517"/>
      <c r="M143" s="517"/>
      <c r="N143" s="517"/>
      <c r="O143" s="517"/>
      <c r="P143" s="517"/>
      <c r="Q143" s="517"/>
      <c r="R143" s="517"/>
      <c r="S143" s="517"/>
      <c r="T143" s="517"/>
      <c r="U143" s="517"/>
      <c r="V143" s="517"/>
      <c r="W143" s="517"/>
      <c r="X143" s="517"/>
      <c r="Y143" s="517"/>
      <c r="Z143" s="517"/>
      <c r="AA143" s="517"/>
      <c r="AB143" s="517"/>
      <c r="AC143" s="517"/>
      <c r="AD143" s="517"/>
    </row>
    <row r="144" spans="3:30">
      <c r="C144" s="517"/>
      <c r="D144" s="517"/>
      <c r="E144" s="517"/>
      <c r="F144" s="517"/>
      <c r="G144" s="517"/>
      <c r="H144" s="517"/>
      <c r="I144" s="517"/>
      <c r="J144" s="517"/>
      <c r="K144" s="517"/>
      <c r="L144" s="517"/>
      <c r="M144" s="517"/>
      <c r="N144" s="517"/>
      <c r="O144" s="517"/>
      <c r="P144" s="517"/>
      <c r="Q144" s="517"/>
      <c r="R144" s="517"/>
      <c r="S144" s="517"/>
      <c r="T144" s="517"/>
      <c r="U144" s="517"/>
      <c r="V144" s="517"/>
      <c r="W144" s="517"/>
      <c r="X144" s="517"/>
      <c r="Y144" s="517"/>
      <c r="Z144" s="517"/>
      <c r="AA144" s="517"/>
      <c r="AB144" s="517"/>
      <c r="AC144" s="517"/>
      <c r="AD144" s="517"/>
    </row>
    <row r="145" spans="3:30">
      <c r="C145" s="517"/>
      <c r="D145" s="517"/>
      <c r="E145" s="517"/>
      <c r="F145" s="517"/>
      <c r="G145" s="517"/>
      <c r="H145" s="517"/>
      <c r="I145" s="517"/>
      <c r="J145" s="517"/>
      <c r="K145" s="517"/>
      <c r="L145" s="517"/>
      <c r="M145" s="517"/>
      <c r="N145" s="517"/>
      <c r="O145" s="517"/>
      <c r="P145" s="517"/>
      <c r="Q145" s="517"/>
      <c r="R145" s="517"/>
      <c r="S145" s="517"/>
      <c r="T145" s="517"/>
      <c r="U145" s="517"/>
      <c r="V145" s="517"/>
      <c r="W145" s="517"/>
      <c r="X145" s="517"/>
      <c r="Y145" s="517"/>
      <c r="Z145" s="517"/>
      <c r="AA145" s="517"/>
      <c r="AB145" s="517"/>
      <c r="AC145" s="517"/>
      <c r="AD145" s="517"/>
    </row>
    <row r="146" spans="3:30">
      <c r="C146" s="517"/>
      <c r="D146" s="517"/>
      <c r="E146" s="517"/>
      <c r="F146" s="517"/>
      <c r="G146" s="517"/>
      <c r="H146" s="517"/>
      <c r="I146" s="517"/>
      <c r="J146" s="517"/>
      <c r="K146" s="517"/>
      <c r="L146" s="517"/>
      <c r="M146" s="517"/>
      <c r="N146" s="517"/>
      <c r="O146" s="517"/>
      <c r="P146" s="517"/>
      <c r="Q146" s="517"/>
      <c r="R146" s="517"/>
      <c r="S146" s="517"/>
      <c r="T146" s="517"/>
      <c r="U146" s="517"/>
      <c r="V146" s="517"/>
      <c r="W146" s="517"/>
      <c r="X146" s="517"/>
      <c r="Y146" s="517"/>
      <c r="Z146" s="517"/>
      <c r="AA146" s="517"/>
      <c r="AB146" s="517"/>
      <c r="AC146" s="517"/>
      <c r="AD146" s="517"/>
    </row>
    <row r="147" spans="3:30">
      <c r="C147" s="517"/>
      <c r="D147" s="517"/>
      <c r="E147" s="517"/>
      <c r="F147" s="517"/>
      <c r="G147" s="517"/>
      <c r="H147" s="517"/>
      <c r="I147" s="517"/>
      <c r="J147" s="517"/>
      <c r="K147" s="517"/>
      <c r="L147" s="517"/>
      <c r="M147" s="517"/>
      <c r="N147" s="517"/>
      <c r="O147" s="517"/>
      <c r="P147" s="517"/>
      <c r="Q147" s="517"/>
      <c r="R147" s="517"/>
      <c r="S147" s="517"/>
      <c r="T147" s="517"/>
      <c r="U147" s="517"/>
      <c r="V147" s="517"/>
      <c r="W147" s="517"/>
      <c r="X147" s="517"/>
      <c r="Y147" s="517"/>
      <c r="Z147" s="517"/>
      <c r="AA147" s="517"/>
      <c r="AB147" s="517"/>
      <c r="AC147" s="517"/>
      <c r="AD147" s="517"/>
    </row>
    <row r="148" spans="3:30">
      <c r="C148" s="517"/>
      <c r="D148" s="517"/>
      <c r="E148" s="517"/>
      <c r="F148" s="517"/>
      <c r="G148" s="517"/>
      <c r="H148" s="517"/>
      <c r="I148" s="517"/>
      <c r="J148" s="517"/>
      <c r="K148" s="517"/>
      <c r="L148" s="517"/>
      <c r="M148" s="517"/>
      <c r="N148" s="517"/>
      <c r="O148" s="517"/>
      <c r="P148" s="517"/>
      <c r="Q148" s="517"/>
      <c r="R148" s="517"/>
      <c r="S148" s="517"/>
      <c r="T148" s="517"/>
      <c r="U148" s="517"/>
      <c r="V148" s="517"/>
      <c r="W148" s="517"/>
      <c r="X148" s="517"/>
      <c r="Y148" s="517"/>
      <c r="Z148" s="517"/>
      <c r="AA148" s="517"/>
      <c r="AB148" s="517"/>
      <c r="AC148" s="517"/>
      <c r="AD148" s="517"/>
    </row>
    <row r="149" spans="3:30">
      <c r="C149" s="517"/>
      <c r="D149" s="517"/>
      <c r="E149" s="517"/>
      <c r="F149" s="517"/>
      <c r="G149" s="517"/>
      <c r="H149" s="517"/>
      <c r="I149" s="517"/>
      <c r="J149" s="517"/>
      <c r="K149" s="517"/>
      <c r="L149" s="517"/>
      <c r="M149" s="517"/>
      <c r="N149" s="517"/>
      <c r="O149" s="517"/>
      <c r="P149" s="517"/>
      <c r="Q149" s="517"/>
      <c r="R149" s="517"/>
      <c r="S149" s="517"/>
      <c r="T149" s="517"/>
      <c r="U149" s="517"/>
      <c r="V149" s="517"/>
      <c r="W149" s="517"/>
      <c r="X149" s="517"/>
      <c r="Y149" s="517"/>
      <c r="Z149" s="517"/>
      <c r="AA149" s="517"/>
      <c r="AB149" s="517"/>
      <c r="AC149" s="517"/>
      <c r="AD149" s="517"/>
    </row>
    <row r="150" spans="3:30">
      <c r="C150" s="517"/>
      <c r="D150" s="517"/>
      <c r="E150" s="517"/>
      <c r="F150" s="517"/>
      <c r="G150" s="517"/>
      <c r="H150" s="517"/>
      <c r="I150" s="517"/>
      <c r="J150" s="517"/>
      <c r="K150" s="517"/>
      <c r="L150" s="517"/>
      <c r="M150" s="517"/>
      <c r="N150" s="517"/>
      <c r="O150" s="517"/>
      <c r="P150" s="517"/>
      <c r="Q150" s="517"/>
      <c r="R150" s="517"/>
      <c r="S150" s="517"/>
      <c r="T150" s="517"/>
      <c r="U150" s="517"/>
      <c r="V150" s="517"/>
      <c r="W150" s="517"/>
      <c r="X150" s="517"/>
      <c r="Y150" s="517"/>
      <c r="Z150" s="517"/>
      <c r="AA150" s="517"/>
      <c r="AB150" s="517"/>
      <c r="AC150" s="517"/>
      <c r="AD150" s="517"/>
    </row>
    <row r="151" spans="3:30">
      <c r="C151" s="517"/>
      <c r="D151" s="517"/>
      <c r="E151" s="517"/>
      <c r="F151" s="517"/>
      <c r="G151" s="517"/>
      <c r="H151" s="517"/>
      <c r="I151" s="517"/>
      <c r="J151" s="517"/>
      <c r="K151" s="517"/>
      <c r="L151" s="517"/>
      <c r="M151" s="517"/>
      <c r="N151" s="517"/>
      <c r="O151" s="517"/>
      <c r="P151" s="517"/>
      <c r="Q151" s="517"/>
      <c r="R151" s="517"/>
      <c r="S151" s="517"/>
      <c r="T151" s="517"/>
      <c r="U151" s="517"/>
      <c r="V151" s="517"/>
      <c r="W151" s="517"/>
      <c r="X151" s="517"/>
      <c r="Y151" s="517"/>
      <c r="Z151" s="517"/>
      <c r="AA151" s="517"/>
      <c r="AB151" s="517"/>
      <c r="AC151" s="517"/>
      <c r="AD151" s="517"/>
    </row>
    <row r="152" spans="3:30">
      <c r="C152" s="517"/>
      <c r="D152" s="517"/>
      <c r="E152" s="517"/>
      <c r="F152" s="517"/>
      <c r="G152" s="517"/>
      <c r="H152" s="517"/>
      <c r="I152" s="517"/>
      <c r="J152" s="517"/>
      <c r="K152" s="517"/>
      <c r="L152" s="517"/>
      <c r="M152" s="517"/>
      <c r="N152" s="517"/>
      <c r="O152" s="517"/>
      <c r="P152" s="517"/>
      <c r="Q152" s="517"/>
      <c r="R152" s="517"/>
      <c r="S152" s="517"/>
      <c r="T152" s="517"/>
      <c r="U152" s="517"/>
      <c r="V152" s="517"/>
      <c r="W152" s="517"/>
      <c r="X152" s="517"/>
      <c r="Y152" s="517"/>
      <c r="Z152" s="517"/>
      <c r="AA152" s="517"/>
      <c r="AB152" s="517"/>
      <c r="AC152" s="517"/>
      <c r="AD152" s="517"/>
    </row>
    <row r="153" spans="3:30">
      <c r="C153" s="517"/>
      <c r="D153" s="517"/>
      <c r="E153" s="517"/>
      <c r="F153" s="517"/>
      <c r="G153" s="517"/>
      <c r="H153" s="517"/>
      <c r="I153" s="517"/>
      <c r="J153" s="517"/>
      <c r="K153" s="517"/>
      <c r="L153" s="517"/>
      <c r="M153" s="517"/>
      <c r="N153" s="517"/>
      <c r="O153" s="517"/>
      <c r="P153" s="517"/>
      <c r="Q153" s="517"/>
      <c r="R153" s="517"/>
      <c r="S153" s="517"/>
      <c r="T153" s="517"/>
      <c r="U153" s="517"/>
      <c r="V153" s="517"/>
      <c r="W153" s="517"/>
      <c r="X153" s="517"/>
      <c r="Y153" s="517"/>
      <c r="Z153" s="517"/>
      <c r="AA153" s="517"/>
      <c r="AB153" s="517"/>
      <c r="AC153" s="517"/>
      <c r="AD153" s="517"/>
    </row>
    <row r="154" spans="3:30">
      <c r="C154" s="517"/>
      <c r="D154" s="517"/>
      <c r="E154" s="517"/>
      <c r="F154" s="517"/>
      <c r="G154" s="517"/>
      <c r="H154" s="517"/>
      <c r="I154" s="517"/>
      <c r="J154" s="517"/>
      <c r="K154" s="517"/>
      <c r="L154" s="517"/>
      <c r="M154" s="517"/>
      <c r="N154" s="517"/>
      <c r="O154" s="517"/>
      <c r="P154" s="517"/>
      <c r="Q154" s="517"/>
      <c r="R154" s="517"/>
      <c r="S154" s="517"/>
      <c r="T154" s="517"/>
      <c r="U154" s="517"/>
      <c r="V154" s="517"/>
      <c r="W154" s="517"/>
      <c r="X154" s="517"/>
      <c r="Y154" s="517"/>
      <c r="Z154" s="517"/>
      <c r="AA154" s="517"/>
      <c r="AB154" s="517"/>
      <c r="AC154" s="517"/>
      <c r="AD154" s="517"/>
    </row>
    <row r="155" spans="3:30">
      <c r="C155" s="517"/>
      <c r="D155" s="517"/>
      <c r="E155" s="517"/>
      <c r="F155" s="517"/>
      <c r="G155" s="517"/>
      <c r="H155" s="517"/>
      <c r="I155" s="517"/>
      <c r="J155" s="517"/>
      <c r="K155" s="517"/>
      <c r="L155" s="517"/>
      <c r="M155" s="517"/>
      <c r="N155" s="517"/>
      <c r="O155" s="517"/>
      <c r="P155" s="517"/>
      <c r="Q155" s="517"/>
      <c r="R155" s="517"/>
      <c r="S155" s="517"/>
      <c r="T155" s="517"/>
      <c r="U155" s="517"/>
      <c r="V155" s="517"/>
      <c r="W155" s="517"/>
      <c r="X155" s="517"/>
      <c r="Y155" s="517"/>
      <c r="Z155" s="517"/>
      <c r="AA155" s="517"/>
      <c r="AB155" s="517"/>
      <c r="AC155" s="517"/>
      <c r="AD155" s="517"/>
    </row>
    <row r="156" spans="3:30">
      <c r="C156" s="517"/>
      <c r="D156" s="517"/>
      <c r="E156" s="517"/>
      <c r="F156" s="517"/>
      <c r="G156" s="517"/>
      <c r="H156" s="517"/>
      <c r="I156" s="517"/>
      <c r="J156" s="517"/>
      <c r="K156" s="517"/>
      <c r="L156" s="517"/>
      <c r="M156" s="517"/>
      <c r="N156" s="517"/>
      <c r="O156" s="517"/>
      <c r="P156" s="517"/>
      <c r="Q156" s="517"/>
      <c r="R156" s="517"/>
      <c r="S156" s="517"/>
      <c r="T156" s="517"/>
      <c r="U156" s="517"/>
      <c r="V156" s="517"/>
      <c r="W156" s="517"/>
      <c r="X156" s="517"/>
      <c r="Y156" s="517"/>
      <c r="Z156" s="517"/>
      <c r="AA156" s="517"/>
      <c r="AB156" s="517"/>
      <c r="AC156" s="517"/>
      <c r="AD156" s="517"/>
    </row>
    <row r="157" spans="3:30">
      <c r="C157" s="517"/>
      <c r="D157" s="517"/>
      <c r="E157" s="517"/>
      <c r="F157" s="517"/>
      <c r="G157" s="517"/>
      <c r="H157" s="517"/>
      <c r="I157" s="517"/>
      <c r="J157" s="517"/>
      <c r="K157" s="517"/>
      <c r="L157" s="517"/>
      <c r="M157" s="517"/>
      <c r="N157" s="517"/>
      <c r="O157" s="517"/>
      <c r="P157" s="517"/>
      <c r="Q157" s="517"/>
      <c r="R157" s="517"/>
      <c r="S157" s="517"/>
      <c r="T157" s="517"/>
      <c r="U157" s="517"/>
      <c r="V157" s="517"/>
      <c r="W157" s="517"/>
      <c r="X157" s="517"/>
      <c r="Y157" s="517"/>
      <c r="Z157" s="517"/>
      <c r="AA157" s="517"/>
      <c r="AB157" s="517"/>
      <c r="AC157" s="517"/>
      <c r="AD157" s="517"/>
    </row>
    <row r="158" spans="3:30">
      <c r="C158" s="517"/>
      <c r="D158" s="517"/>
      <c r="E158" s="517"/>
      <c r="F158" s="517"/>
      <c r="G158" s="517"/>
      <c r="H158" s="517"/>
      <c r="I158" s="517"/>
      <c r="J158" s="517"/>
      <c r="K158" s="517"/>
      <c r="L158" s="517"/>
      <c r="M158" s="517"/>
      <c r="N158" s="517"/>
      <c r="O158" s="517"/>
      <c r="P158" s="517"/>
      <c r="Q158" s="517"/>
      <c r="R158" s="517"/>
      <c r="S158" s="517"/>
      <c r="T158" s="517"/>
      <c r="U158" s="517"/>
      <c r="V158" s="517"/>
      <c r="W158" s="517"/>
      <c r="X158" s="517"/>
      <c r="Y158" s="517"/>
      <c r="Z158" s="517"/>
      <c r="AA158" s="517"/>
      <c r="AB158" s="517"/>
      <c r="AC158" s="517"/>
      <c r="AD158" s="517"/>
    </row>
    <row r="159" spans="3:30">
      <c r="C159" s="517"/>
      <c r="D159" s="517"/>
      <c r="E159" s="517"/>
      <c r="F159" s="517"/>
      <c r="G159" s="517"/>
      <c r="H159" s="517"/>
      <c r="I159" s="517"/>
      <c r="J159" s="517"/>
      <c r="K159" s="517"/>
      <c r="L159" s="517"/>
      <c r="M159" s="517"/>
      <c r="N159" s="517"/>
      <c r="O159" s="517"/>
      <c r="P159" s="517"/>
      <c r="Q159" s="517"/>
      <c r="R159" s="517"/>
      <c r="S159" s="517"/>
      <c r="T159" s="517"/>
      <c r="U159" s="517"/>
      <c r="V159" s="517"/>
      <c r="W159" s="517"/>
      <c r="X159" s="517"/>
      <c r="Y159" s="517"/>
      <c r="Z159" s="517"/>
      <c r="AA159" s="517"/>
      <c r="AB159" s="517"/>
      <c r="AC159" s="517"/>
      <c r="AD159" s="517"/>
    </row>
    <row r="160" spans="3:30">
      <c r="C160" s="517"/>
      <c r="D160" s="517"/>
      <c r="E160" s="517"/>
      <c r="F160" s="517"/>
      <c r="G160" s="517"/>
      <c r="H160" s="517"/>
      <c r="I160" s="517"/>
      <c r="J160" s="517"/>
      <c r="K160" s="517"/>
      <c r="L160" s="517"/>
      <c r="M160" s="517"/>
      <c r="N160" s="517"/>
      <c r="O160" s="517"/>
      <c r="P160" s="517"/>
      <c r="Q160" s="517"/>
      <c r="R160" s="517"/>
      <c r="S160" s="517"/>
      <c r="T160" s="517"/>
      <c r="U160" s="517"/>
      <c r="V160" s="517"/>
      <c r="W160" s="517"/>
      <c r="X160" s="517"/>
      <c r="Y160" s="517"/>
      <c r="Z160" s="517"/>
      <c r="AA160" s="517"/>
      <c r="AB160" s="517"/>
      <c r="AC160" s="517"/>
      <c r="AD160" s="517"/>
    </row>
    <row r="161" spans="3:30">
      <c r="C161" s="517"/>
      <c r="D161" s="517"/>
      <c r="E161" s="517"/>
      <c r="F161" s="517"/>
      <c r="G161" s="517"/>
      <c r="H161" s="517"/>
      <c r="I161" s="517"/>
      <c r="J161" s="517"/>
      <c r="K161" s="517"/>
      <c r="L161" s="517"/>
      <c r="M161" s="517"/>
      <c r="N161" s="517"/>
      <c r="O161" s="517"/>
      <c r="P161" s="517"/>
      <c r="Q161" s="517"/>
      <c r="R161" s="517"/>
      <c r="S161" s="517"/>
      <c r="T161" s="517"/>
      <c r="U161" s="517"/>
      <c r="V161" s="517"/>
      <c r="W161" s="517"/>
      <c r="X161" s="517"/>
      <c r="Y161" s="517"/>
      <c r="Z161" s="517"/>
      <c r="AA161" s="517"/>
      <c r="AB161" s="517"/>
      <c r="AC161" s="517"/>
      <c r="AD161" s="517"/>
    </row>
    <row r="162" spans="3:30">
      <c r="C162" s="517"/>
      <c r="D162" s="517"/>
      <c r="E162" s="517"/>
      <c r="F162" s="517"/>
      <c r="G162" s="517"/>
      <c r="H162" s="517"/>
      <c r="I162" s="517"/>
      <c r="J162" s="517"/>
      <c r="K162" s="517"/>
      <c r="L162" s="517"/>
      <c r="M162" s="517"/>
      <c r="N162" s="517"/>
      <c r="O162" s="517"/>
      <c r="P162" s="517"/>
      <c r="Q162" s="517"/>
      <c r="R162" s="517"/>
      <c r="S162" s="517"/>
      <c r="T162" s="517"/>
      <c r="U162" s="517"/>
      <c r="V162" s="517"/>
      <c r="W162" s="517"/>
      <c r="X162" s="517"/>
      <c r="Y162" s="517"/>
      <c r="Z162" s="517"/>
      <c r="AA162" s="517"/>
      <c r="AB162" s="517"/>
      <c r="AC162" s="517"/>
      <c r="AD162" s="517"/>
    </row>
    <row r="163" spans="3:30">
      <c r="C163" s="517"/>
      <c r="D163" s="517"/>
      <c r="E163" s="517"/>
      <c r="F163" s="517"/>
      <c r="G163" s="517"/>
      <c r="H163" s="517"/>
      <c r="I163" s="517"/>
      <c r="J163" s="517"/>
      <c r="K163" s="517"/>
      <c r="L163" s="517"/>
      <c r="M163" s="517"/>
      <c r="N163" s="517"/>
      <c r="O163" s="517"/>
      <c r="P163" s="517"/>
      <c r="Q163" s="517"/>
      <c r="R163" s="517"/>
      <c r="S163" s="517"/>
      <c r="T163" s="517"/>
      <c r="U163" s="517"/>
      <c r="V163" s="517"/>
      <c r="W163" s="517"/>
      <c r="X163" s="517"/>
      <c r="Y163" s="517"/>
      <c r="Z163" s="517"/>
      <c r="AA163" s="517"/>
      <c r="AB163" s="517"/>
      <c r="AC163" s="517"/>
      <c r="AD163" s="517"/>
    </row>
    <row r="164" spans="3:30">
      <c r="C164" s="517"/>
      <c r="D164" s="517"/>
      <c r="E164" s="517"/>
      <c r="F164" s="517"/>
      <c r="G164" s="517"/>
      <c r="H164" s="517"/>
      <c r="I164" s="517"/>
      <c r="J164" s="517"/>
      <c r="K164" s="517"/>
      <c r="L164" s="517"/>
      <c r="M164" s="517"/>
      <c r="N164" s="517"/>
      <c r="O164" s="517"/>
      <c r="P164" s="517"/>
      <c r="Q164" s="517"/>
      <c r="R164" s="517"/>
      <c r="S164" s="517"/>
      <c r="T164" s="517"/>
      <c r="U164" s="517"/>
      <c r="V164" s="517"/>
      <c r="W164" s="517"/>
      <c r="X164" s="517"/>
      <c r="Y164" s="517"/>
      <c r="Z164" s="517"/>
      <c r="AA164" s="517"/>
      <c r="AB164" s="517"/>
      <c r="AC164" s="517"/>
      <c r="AD164" s="517"/>
    </row>
    <row r="165" spans="3:30">
      <c r="C165" s="517"/>
      <c r="D165" s="517"/>
      <c r="E165" s="517"/>
      <c r="F165" s="517"/>
      <c r="G165" s="517"/>
      <c r="H165" s="517"/>
      <c r="I165" s="517"/>
      <c r="J165" s="517"/>
      <c r="K165" s="517"/>
      <c r="L165" s="517"/>
      <c r="M165" s="517"/>
      <c r="N165" s="517"/>
      <c r="O165" s="517"/>
      <c r="P165" s="517"/>
      <c r="Q165" s="517"/>
      <c r="R165" s="517"/>
      <c r="S165" s="517"/>
      <c r="T165" s="517"/>
      <c r="U165" s="517"/>
      <c r="V165" s="517"/>
      <c r="W165" s="517"/>
      <c r="X165" s="517"/>
      <c r="Y165" s="517"/>
      <c r="Z165" s="517"/>
      <c r="AA165" s="517"/>
      <c r="AB165" s="517"/>
      <c r="AC165" s="517"/>
      <c r="AD165" s="517"/>
    </row>
    <row r="166" spans="3:30">
      <c r="C166" s="517"/>
      <c r="D166" s="517"/>
      <c r="E166" s="517"/>
      <c r="F166" s="517"/>
      <c r="G166" s="517"/>
      <c r="H166" s="517"/>
      <c r="I166" s="517"/>
      <c r="J166" s="517"/>
      <c r="K166" s="517"/>
      <c r="L166" s="517"/>
      <c r="M166" s="517"/>
      <c r="N166" s="517"/>
      <c r="O166" s="517"/>
      <c r="P166" s="517"/>
      <c r="Q166" s="517"/>
      <c r="R166" s="517"/>
      <c r="S166" s="517"/>
      <c r="T166" s="517"/>
      <c r="U166" s="517"/>
      <c r="V166" s="517"/>
      <c r="W166" s="517"/>
      <c r="X166" s="517"/>
      <c r="Y166" s="517"/>
      <c r="Z166" s="517"/>
      <c r="AA166" s="517"/>
      <c r="AB166" s="517"/>
      <c r="AC166" s="517"/>
      <c r="AD166" s="517"/>
    </row>
    <row r="167" spans="3:30">
      <c r="C167" s="517"/>
      <c r="D167" s="517"/>
      <c r="E167" s="517"/>
      <c r="F167" s="517"/>
      <c r="G167" s="517"/>
      <c r="H167" s="517"/>
      <c r="I167" s="517"/>
      <c r="J167" s="517"/>
      <c r="K167" s="517"/>
      <c r="L167" s="517"/>
      <c r="M167" s="517"/>
      <c r="N167" s="517"/>
      <c r="O167" s="517"/>
      <c r="P167" s="517"/>
      <c r="Q167" s="517"/>
      <c r="R167" s="517"/>
      <c r="S167" s="517"/>
      <c r="T167" s="517"/>
      <c r="U167" s="517"/>
      <c r="V167" s="517"/>
      <c r="W167" s="517"/>
      <c r="X167" s="517"/>
      <c r="Y167" s="517"/>
      <c r="Z167" s="517"/>
      <c r="AA167" s="517"/>
      <c r="AB167" s="517"/>
      <c r="AC167" s="517"/>
      <c r="AD167" s="517"/>
    </row>
    <row r="168" spans="3:30">
      <c r="C168" s="517"/>
      <c r="D168" s="517"/>
      <c r="E168" s="517"/>
      <c r="F168" s="517"/>
      <c r="G168" s="517"/>
      <c r="H168" s="517"/>
      <c r="I168" s="517"/>
      <c r="J168" s="517"/>
      <c r="K168" s="517"/>
      <c r="L168" s="517"/>
      <c r="M168" s="517"/>
      <c r="N168" s="517"/>
      <c r="O168" s="517"/>
      <c r="P168" s="517"/>
      <c r="Q168" s="517"/>
      <c r="R168" s="517"/>
      <c r="S168" s="517"/>
      <c r="T168" s="517"/>
      <c r="U168" s="517"/>
      <c r="V168" s="517"/>
      <c r="W168" s="517"/>
      <c r="X168" s="517"/>
      <c r="Y168" s="517"/>
      <c r="Z168" s="517"/>
      <c r="AA168" s="517"/>
      <c r="AB168" s="517"/>
      <c r="AC168" s="517"/>
      <c r="AD168" s="517"/>
    </row>
    <row r="169" spans="3:30">
      <c r="C169" s="517"/>
      <c r="D169" s="517"/>
      <c r="E169" s="517"/>
      <c r="F169" s="517"/>
      <c r="G169" s="517"/>
      <c r="H169" s="517"/>
      <c r="I169" s="517"/>
      <c r="J169" s="517"/>
      <c r="K169" s="517"/>
      <c r="L169" s="517"/>
      <c r="M169" s="517"/>
      <c r="N169" s="517"/>
      <c r="O169" s="517"/>
      <c r="P169" s="517"/>
      <c r="Q169" s="517"/>
      <c r="R169" s="517"/>
      <c r="S169" s="517"/>
      <c r="T169" s="517"/>
      <c r="U169" s="517"/>
      <c r="V169" s="517"/>
      <c r="W169" s="517"/>
      <c r="X169" s="517"/>
      <c r="Y169" s="517"/>
      <c r="Z169" s="517"/>
      <c r="AA169" s="517"/>
      <c r="AB169" s="517"/>
      <c r="AC169" s="517"/>
      <c r="AD169" s="517"/>
    </row>
    <row r="170" spans="3:30">
      <c r="C170" s="517"/>
      <c r="D170" s="517"/>
      <c r="E170" s="517"/>
      <c r="F170" s="517"/>
      <c r="G170" s="517"/>
      <c r="H170" s="517"/>
      <c r="I170" s="517"/>
      <c r="J170" s="517"/>
      <c r="K170" s="517"/>
      <c r="L170" s="517"/>
      <c r="M170" s="517"/>
      <c r="N170" s="517"/>
      <c r="O170" s="517"/>
      <c r="P170" s="517"/>
      <c r="Q170" s="517"/>
      <c r="R170" s="517"/>
      <c r="S170" s="517"/>
      <c r="T170" s="517"/>
      <c r="U170" s="517"/>
      <c r="V170" s="517"/>
      <c r="W170" s="517"/>
      <c r="X170" s="517"/>
      <c r="Y170" s="517"/>
      <c r="Z170" s="517"/>
      <c r="AA170" s="517"/>
      <c r="AB170" s="517"/>
      <c r="AC170" s="517"/>
      <c r="AD170" s="517"/>
    </row>
    <row r="171" spans="3:30">
      <c r="C171" s="517"/>
      <c r="D171" s="517"/>
      <c r="E171" s="517"/>
      <c r="F171" s="517"/>
      <c r="G171" s="517"/>
      <c r="H171" s="517"/>
      <c r="I171" s="517"/>
      <c r="J171" s="517"/>
      <c r="K171" s="517"/>
      <c r="L171" s="517"/>
      <c r="M171" s="517"/>
      <c r="N171" s="517"/>
      <c r="O171" s="517"/>
      <c r="P171" s="517"/>
      <c r="Q171" s="517"/>
      <c r="R171" s="517"/>
      <c r="S171" s="517"/>
      <c r="T171" s="517"/>
      <c r="U171" s="517"/>
      <c r="V171" s="517"/>
      <c r="W171" s="517"/>
      <c r="X171" s="517"/>
      <c r="Y171" s="517"/>
      <c r="Z171" s="517"/>
      <c r="AA171" s="517"/>
      <c r="AB171" s="517"/>
      <c r="AC171" s="517"/>
      <c r="AD171" s="517"/>
    </row>
    <row r="172" spans="3:30">
      <c r="C172" s="517"/>
      <c r="D172" s="517"/>
      <c r="E172" s="517"/>
      <c r="F172" s="517"/>
      <c r="G172" s="517"/>
      <c r="H172" s="517"/>
      <c r="I172" s="517"/>
      <c r="J172" s="517"/>
      <c r="K172" s="517"/>
      <c r="L172" s="517"/>
      <c r="M172" s="517"/>
      <c r="N172" s="517"/>
      <c r="O172" s="517"/>
      <c r="P172" s="517"/>
      <c r="Q172" s="517"/>
      <c r="R172" s="517"/>
      <c r="S172" s="517"/>
      <c r="T172" s="517"/>
      <c r="U172" s="517"/>
      <c r="V172" s="517"/>
      <c r="W172" s="517"/>
      <c r="X172" s="517"/>
      <c r="Y172" s="517"/>
      <c r="Z172" s="517"/>
      <c r="AA172" s="517"/>
      <c r="AB172" s="517"/>
      <c r="AC172" s="517"/>
      <c r="AD172" s="517"/>
    </row>
    <row r="173" spans="3:30">
      <c r="C173" s="517"/>
      <c r="D173" s="517"/>
      <c r="E173" s="517"/>
      <c r="F173" s="517"/>
      <c r="G173" s="517"/>
      <c r="H173" s="517"/>
      <c r="I173" s="517"/>
      <c r="J173" s="517"/>
      <c r="K173" s="517"/>
      <c r="L173" s="517"/>
      <c r="M173" s="517"/>
      <c r="N173" s="517"/>
      <c r="O173" s="517"/>
      <c r="P173" s="517"/>
      <c r="Q173" s="517"/>
      <c r="R173" s="517"/>
      <c r="S173" s="517"/>
      <c r="T173" s="517"/>
      <c r="U173" s="517"/>
      <c r="V173" s="517"/>
      <c r="W173" s="517"/>
      <c r="X173" s="517"/>
      <c r="Y173" s="517"/>
      <c r="Z173" s="517"/>
      <c r="AA173" s="517"/>
      <c r="AB173" s="517"/>
      <c r="AC173" s="517"/>
      <c r="AD173" s="517"/>
    </row>
    <row r="174" spans="3:30">
      <c r="C174" s="517"/>
      <c r="D174" s="517"/>
      <c r="E174" s="517"/>
      <c r="F174" s="517"/>
      <c r="G174" s="517"/>
      <c r="H174" s="517"/>
      <c r="I174" s="517"/>
      <c r="J174" s="517"/>
      <c r="K174" s="517"/>
      <c r="L174" s="517"/>
      <c r="M174" s="517"/>
      <c r="N174" s="517"/>
      <c r="O174" s="517"/>
      <c r="P174" s="517"/>
      <c r="Q174" s="517"/>
      <c r="R174" s="517"/>
      <c r="S174" s="517"/>
      <c r="T174" s="517"/>
      <c r="U174" s="517"/>
      <c r="V174" s="517"/>
      <c r="W174" s="517"/>
      <c r="X174" s="517"/>
      <c r="Y174" s="517"/>
      <c r="Z174" s="517"/>
      <c r="AA174" s="517"/>
      <c r="AB174" s="517"/>
      <c r="AC174" s="517"/>
      <c r="AD174" s="517"/>
    </row>
    <row r="175" spans="3:30">
      <c r="C175" s="517"/>
      <c r="D175" s="517"/>
      <c r="E175" s="517"/>
      <c r="F175" s="517"/>
      <c r="G175" s="517"/>
      <c r="H175" s="517"/>
      <c r="I175" s="517"/>
      <c r="J175" s="517"/>
      <c r="K175" s="517"/>
      <c r="L175" s="517"/>
      <c r="M175" s="517"/>
      <c r="N175" s="517"/>
      <c r="O175" s="517"/>
      <c r="P175" s="517"/>
      <c r="Q175" s="517"/>
      <c r="R175" s="517"/>
      <c r="S175" s="517"/>
      <c r="T175" s="517"/>
      <c r="U175" s="517"/>
      <c r="V175" s="517"/>
      <c r="W175" s="517"/>
      <c r="X175" s="517"/>
      <c r="Y175" s="517"/>
      <c r="Z175" s="517"/>
      <c r="AA175" s="517"/>
      <c r="AB175" s="517"/>
      <c r="AC175" s="517"/>
      <c r="AD175" s="517"/>
    </row>
    <row r="176" spans="3:30">
      <c r="C176" s="517"/>
      <c r="D176" s="517"/>
      <c r="E176" s="517"/>
      <c r="F176" s="517"/>
      <c r="G176" s="517"/>
      <c r="H176" s="517"/>
      <c r="I176" s="517"/>
      <c r="J176" s="517"/>
      <c r="K176" s="517"/>
      <c r="L176" s="517"/>
      <c r="M176" s="517"/>
      <c r="N176" s="517"/>
      <c r="O176" s="517"/>
      <c r="P176" s="517"/>
      <c r="Q176" s="517"/>
      <c r="R176" s="517"/>
      <c r="S176" s="517"/>
      <c r="T176" s="517"/>
      <c r="U176" s="517"/>
      <c r="V176" s="517"/>
      <c r="W176" s="517"/>
      <c r="X176" s="517"/>
      <c r="Y176" s="517"/>
      <c r="Z176" s="517"/>
      <c r="AA176" s="517"/>
      <c r="AB176" s="517"/>
      <c r="AC176" s="517"/>
      <c r="AD176" s="517"/>
    </row>
    <row r="177" spans="3:30">
      <c r="C177" s="517"/>
      <c r="D177" s="517"/>
      <c r="E177" s="517"/>
      <c r="F177" s="517"/>
      <c r="G177" s="517"/>
      <c r="H177" s="517"/>
      <c r="I177" s="517"/>
      <c r="J177" s="517"/>
      <c r="K177" s="517"/>
      <c r="L177" s="517"/>
      <c r="M177" s="517"/>
      <c r="N177" s="517"/>
      <c r="O177" s="517"/>
      <c r="P177" s="517"/>
      <c r="Q177" s="517"/>
      <c r="R177" s="517"/>
      <c r="S177" s="517"/>
      <c r="T177" s="517"/>
      <c r="U177" s="517"/>
      <c r="V177" s="517"/>
      <c r="W177" s="517"/>
      <c r="X177" s="517"/>
      <c r="Y177" s="517"/>
      <c r="Z177" s="517"/>
      <c r="AA177" s="517"/>
      <c r="AB177" s="517"/>
      <c r="AC177" s="517"/>
      <c r="AD177" s="517"/>
    </row>
    <row r="178" spans="3:30">
      <c r="C178" s="517"/>
      <c r="D178" s="517"/>
      <c r="E178" s="517"/>
      <c r="F178" s="517"/>
      <c r="G178" s="517"/>
      <c r="H178" s="517"/>
      <c r="I178" s="517"/>
      <c r="J178" s="517"/>
      <c r="K178" s="517"/>
      <c r="L178" s="517"/>
      <c r="M178" s="517"/>
      <c r="N178" s="517"/>
      <c r="O178" s="517"/>
      <c r="P178" s="517"/>
      <c r="Q178" s="517"/>
      <c r="R178" s="517"/>
      <c r="S178" s="517"/>
      <c r="T178" s="517"/>
      <c r="U178" s="517"/>
      <c r="V178" s="517"/>
      <c r="W178" s="517"/>
      <c r="X178" s="517"/>
      <c r="Y178" s="517"/>
      <c r="Z178" s="517"/>
      <c r="AA178" s="517"/>
      <c r="AB178" s="517"/>
      <c r="AC178" s="517"/>
      <c r="AD178" s="517"/>
    </row>
    <row r="179" spans="3:30">
      <c r="C179" s="517"/>
      <c r="D179" s="517"/>
      <c r="E179" s="517"/>
      <c r="F179" s="517"/>
      <c r="G179" s="517"/>
      <c r="H179" s="517"/>
      <c r="I179" s="517"/>
      <c r="J179" s="517"/>
      <c r="K179" s="517"/>
      <c r="L179" s="517"/>
      <c r="M179" s="517"/>
      <c r="N179" s="517"/>
      <c r="O179" s="517"/>
      <c r="P179" s="517"/>
      <c r="Q179" s="517"/>
      <c r="R179" s="517"/>
      <c r="S179" s="517"/>
      <c r="T179" s="517"/>
      <c r="U179" s="517"/>
      <c r="V179" s="517"/>
      <c r="W179" s="517"/>
      <c r="X179" s="517"/>
      <c r="Y179" s="517"/>
      <c r="Z179" s="517"/>
      <c r="AA179" s="517"/>
      <c r="AB179" s="517"/>
      <c r="AC179" s="517"/>
      <c r="AD179" s="517"/>
    </row>
    <row r="180" spans="3:30">
      <c r="C180" s="517"/>
      <c r="D180" s="517"/>
      <c r="E180" s="517"/>
      <c r="F180" s="517"/>
      <c r="G180" s="517"/>
      <c r="H180" s="517"/>
      <c r="I180" s="517"/>
      <c r="J180" s="517"/>
      <c r="K180" s="517"/>
      <c r="L180" s="517"/>
      <c r="M180" s="517"/>
      <c r="N180" s="517"/>
      <c r="O180" s="517"/>
      <c r="P180" s="517"/>
      <c r="Q180" s="517"/>
      <c r="R180" s="517"/>
      <c r="S180" s="517"/>
      <c r="T180" s="517"/>
      <c r="U180" s="517"/>
      <c r="V180" s="517"/>
      <c r="W180" s="517"/>
      <c r="X180" s="517"/>
      <c r="Y180" s="517"/>
      <c r="Z180" s="517"/>
      <c r="AA180" s="517"/>
      <c r="AB180" s="517"/>
      <c r="AC180" s="517"/>
      <c r="AD180" s="517"/>
    </row>
    <row r="181" spans="3:30">
      <c r="C181" s="517"/>
      <c r="D181" s="517"/>
      <c r="E181" s="517"/>
      <c r="F181" s="517"/>
      <c r="G181" s="517"/>
      <c r="H181" s="517"/>
      <c r="I181" s="517"/>
      <c r="J181" s="517"/>
      <c r="K181" s="517"/>
      <c r="L181" s="517"/>
      <c r="M181" s="517"/>
      <c r="N181" s="517"/>
      <c r="O181" s="517"/>
      <c r="P181" s="517"/>
      <c r="Q181" s="517"/>
      <c r="R181" s="517"/>
      <c r="S181" s="517"/>
      <c r="T181" s="517"/>
      <c r="U181" s="517"/>
      <c r="V181" s="517"/>
      <c r="W181" s="517"/>
      <c r="X181" s="517"/>
      <c r="Y181" s="517"/>
      <c r="Z181" s="517"/>
      <c r="AA181" s="517"/>
      <c r="AB181" s="517"/>
      <c r="AC181" s="517"/>
      <c r="AD181" s="517"/>
    </row>
    <row r="182" spans="3:30">
      <c r="C182" s="517"/>
      <c r="D182" s="517"/>
      <c r="E182" s="517"/>
      <c r="F182" s="517"/>
      <c r="G182" s="517"/>
      <c r="H182" s="517"/>
      <c r="I182" s="517"/>
      <c r="J182" s="517"/>
      <c r="K182" s="517"/>
      <c r="L182" s="517"/>
      <c r="M182" s="517"/>
      <c r="N182" s="517"/>
      <c r="O182" s="517"/>
      <c r="P182" s="517"/>
      <c r="Q182" s="517"/>
      <c r="R182" s="517"/>
      <c r="S182" s="517"/>
      <c r="T182" s="517"/>
      <c r="U182" s="517"/>
      <c r="V182" s="517"/>
      <c r="W182" s="517"/>
      <c r="X182" s="517"/>
      <c r="Y182" s="517"/>
      <c r="Z182" s="517"/>
      <c r="AA182" s="517"/>
      <c r="AB182" s="517"/>
      <c r="AC182" s="517"/>
      <c r="AD182" s="517"/>
    </row>
    <row r="183" spans="3:30">
      <c r="C183" s="517"/>
      <c r="D183" s="517"/>
      <c r="E183" s="517"/>
      <c r="F183" s="517"/>
      <c r="G183" s="517"/>
      <c r="H183" s="517"/>
      <c r="I183" s="517"/>
      <c r="J183" s="517"/>
      <c r="K183" s="517"/>
      <c r="L183" s="517"/>
      <c r="M183" s="517"/>
      <c r="N183" s="517"/>
      <c r="O183" s="517"/>
      <c r="P183" s="517"/>
      <c r="Q183" s="517"/>
      <c r="R183" s="517"/>
      <c r="S183" s="517"/>
      <c r="T183" s="517"/>
      <c r="U183" s="517"/>
      <c r="V183" s="517"/>
      <c r="W183" s="517"/>
      <c r="X183" s="517"/>
      <c r="Y183" s="517"/>
      <c r="Z183" s="517"/>
      <c r="AA183" s="517"/>
      <c r="AB183" s="517"/>
      <c r="AC183" s="517"/>
      <c r="AD183" s="517"/>
    </row>
    <row r="184" spans="3:30">
      <c r="C184" s="517"/>
      <c r="D184" s="517"/>
      <c r="E184" s="517"/>
      <c r="F184" s="517"/>
      <c r="G184" s="517"/>
      <c r="H184" s="517"/>
      <c r="I184" s="517"/>
      <c r="J184" s="517"/>
      <c r="K184" s="517"/>
      <c r="L184" s="517"/>
      <c r="M184" s="517"/>
      <c r="N184" s="517"/>
      <c r="O184" s="517"/>
      <c r="P184" s="517"/>
      <c r="Q184" s="517"/>
      <c r="R184" s="517"/>
      <c r="S184" s="517"/>
      <c r="T184" s="517"/>
      <c r="U184" s="517"/>
      <c r="V184" s="517"/>
      <c r="W184" s="517"/>
      <c r="X184" s="517"/>
      <c r="Y184" s="517"/>
      <c r="Z184" s="517"/>
      <c r="AA184" s="517"/>
      <c r="AB184" s="517"/>
      <c r="AC184" s="517"/>
      <c r="AD184" s="517"/>
    </row>
    <row r="185" spans="3:30">
      <c r="C185" s="517"/>
      <c r="D185" s="517"/>
      <c r="E185" s="517"/>
      <c r="F185" s="517"/>
      <c r="G185" s="517"/>
      <c r="H185" s="517"/>
      <c r="I185" s="517"/>
      <c r="J185" s="517"/>
      <c r="K185" s="517"/>
      <c r="L185" s="517"/>
      <c r="M185" s="517"/>
      <c r="N185" s="517"/>
      <c r="O185" s="517"/>
      <c r="P185" s="517"/>
      <c r="Q185" s="517"/>
      <c r="R185" s="517"/>
      <c r="S185" s="517"/>
      <c r="T185" s="517"/>
      <c r="U185" s="517"/>
      <c r="V185" s="517"/>
      <c r="W185" s="517"/>
      <c r="X185" s="517"/>
      <c r="Y185" s="517"/>
      <c r="Z185" s="517"/>
      <c r="AA185" s="517"/>
      <c r="AB185" s="517"/>
      <c r="AC185" s="517"/>
      <c r="AD185" s="517"/>
    </row>
    <row r="186" spans="3:30">
      <c r="C186" s="517"/>
      <c r="D186" s="517"/>
      <c r="E186" s="517"/>
      <c r="F186" s="517"/>
      <c r="G186" s="517"/>
      <c r="H186" s="517"/>
      <c r="I186" s="517"/>
      <c r="J186" s="517"/>
      <c r="K186" s="517"/>
      <c r="L186" s="517"/>
      <c r="M186" s="517"/>
      <c r="N186" s="517"/>
      <c r="O186" s="517"/>
      <c r="P186" s="517"/>
      <c r="Q186" s="517"/>
      <c r="R186" s="517"/>
      <c r="S186" s="517"/>
      <c r="T186" s="517"/>
      <c r="U186" s="517"/>
      <c r="V186" s="517"/>
      <c r="W186" s="517"/>
      <c r="X186" s="517"/>
      <c r="Y186" s="517"/>
      <c r="Z186" s="517"/>
      <c r="AA186" s="517"/>
      <c r="AB186" s="517"/>
      <c r="AC186" s="517"/>
      <c r="AD186" s="517"/>
    </row>
    <row r="187" spans="3:30">
      <c r="C187" s="517"/>
      <c r="D187" s="517"/>
      <c r="E187" s="517"/>
      <c r="F187" s="517"/>
      <c r="G187" s="517"/>
      <c r="H187" s="517"/>
      <c r="I187" s="517"/>
      <c r="J187" s="517"/>
      <c r="K187" s="517"/>
      <c r="L187" s="517"/>
      <c r="M187" s="517"/>
      <c r="N187" s="517"/>
      <c r="O187" s="517"/>
      <c r="P187" s="517"/>
      <c r="Q187" s="517"/>
      <c r="R187" s="517"/>
      <c r="S187" s="517"/>
      <c r="T187" s="517"/>
      <c r="U187" s="517"/>
      <c r="V187" s="517"/>
      <c r="W187" s="517"/>
      <c r="X187" s="517"/>
      <c r="Y187" s="517"/>
      <c r="Z187" s="517"/>
      <c r="AA187" s="517"/>
      <c r="AB187" s="517"/>
      <c r="AC187" s="517"/>
      <c r="AD187" s="517"/>
    </row>
    <row r="188" spans="3:30">
      <c r="C188" s="517"/>
      <c r="D188" s="517"/>
      <c r="E188" s="517"/>
      <c r="F188" s="517"/>
      <c r="G188" s="517"/>
      <c r="H188" s="517"/>
      <c r="I188" s="517"/>
      <c r="J188" s="517"/>
      <c r="K188" s="517"/>
      <c r="L188" s="517"/>
      <c r="M188" s="517"/>
      <c r="N188" s="517"/>
      <c r="O188" s="517"/>
      <c r="P188" s="517"/>
      <c r="Q188" s="517"/>
      <c r="R188" s="517"/>
      <c r="S188" s="517"/>
      <c r="T188" s="517"/>
      <c r="U188" s="517"/>
      <c r="V188" s="517"/>
      <c r="W188" s="517"/>
      <c r="X188" s="517"/>
      <c r="Y188" s="517"/>
      <c r="Z188" s="517"/>
      <c r="AA188" s="517"/>
      <c r="AB188" s="517"/>
      <c r="AC188" s="517"/>
      <c r="AD188" s="517"/>
    </row>
    <row r="189" spans="3:30">
      <c r="C189" s="517"/>
      <c r="D189" s="517"/>
      <c r="E189" s="517"/>
      <c r="F189" s="517"/>
      <c r="G189" s="517"/>
      <c r="H189" s="517"/>
      <c r="I189" s="517"/>
      <c r="J189" s="517"/>
      <c r="K189" s="517"/>
      <c r="L189" s="517"/>
      <c r="M189" s="517"/>
      <c r="N189" s="517"/>
      <c r="O189" s="517"/>
      <c r="P189" s="517"/>
      <c r="Q189" s="517"/>
      <c r="R189" s="517"/>
      <c r="S189" s="517"/>
      <c r="T189" s="517"/>
      <c r="U189" s="517"/>
      <c r="V189" s="517"/>
      <c r="W189" s="517"/>
      <c r="X189" s="517"/>
      <c r="Y189" s="517"/>
      <c r="Z189" s="517"/>
      <c r="AA189" s="517"/>
      <c r="AB189" s="517"/>
      <c r="AC189" s="517"/>
      <c r="AD189" s="517"/>
    </row>
    <row r="190" spans="3:30">
      <c r="C190" s="517"/>
      <c r="D190" s="517"/>
      <c r="E190" s="517"/>
      <c r="F190" s="517"/>
      <c r="G190" s="517"/>
      <c r="H190" s="517"/>
      <c r="I190" s="517"/>
      <c r="J190" s="517"/>
      <c r="K190" s="517"/>
      <c r="L190" s="517"/>
      <c r="M190" s="517"/>
      <c r="N190" s="517"/>
      <c r="O190" s="517"/>
      <c r="P190" s="517"/>
      <c r="Q190" s="517"/>
      <c r="R190" s="517"/>
      <c r="S190" s="517"/>
      <c r="T190" s="517"/>
      <c r="U190" s="517"/>
      <c r="V190" s="517"/>
      <c r="W190" s="517"/>
      <c r="X190" s="517"/>
      <c r="Y190" s="517"/>
      <c r="Z190" s="517"/>
      <c r="AA190" s="517"/>
      <c r="AB190" s="517"/>
      <c r="AC190" s="517"/>
      <c r="AD190" s="517"/>
    </row>
    <row r="191" spans="3:30">
      <c r="C191" s="517"/>
      <c r="D191" s="517"/>
      <c r="E191" s="517"/>
      <c r="F191" s="517"/>
      <c r="G191" s="517"/>
      <c r="H191" s="517"/>
      <c r="I191" s="517"/>
      <c r="J191" s="517"/>
      <c r="K191" s="517"/>
      <c r="L191" s="517"/>
      <c r="M191" s="517"/>
      <c r="N191" s="517"/>
      <c r="O191" s="517"/>
      <c r="P191" s="517"/>
      <c r="Q191" s="517"/>
      <c r="R191" s="517"/>
      <c r="S191" s="517"/>
      <c r="T191" s="517"/>
      <c r="U191" s="517"/>
      <c r="V191" s="517"/>
      <c r="W191" s="517"/>
      <c r="X191" s="517"/>
      <c r="Y191" s="517"/>
      <c r="Z191" s="517"/>
      <c r="AA191" s="517"/>
      <c r="AB191" s="517"/>
      <c r="AC191" s="517"/>
      <c r="AD191" s="517"/>
    </row>
    <row r="192" spans="3:30">
      <c r="C192" s="517"/>
      <c r="D192" s="517"/>
      <c r="E192" s="517"/>
      <c r="F192" s="517"/>
      <c r="G192" s="517"/>
      <c r="H192" s="517"/>
      <c r="I192" s="517"/>
      <c r="J192" s="517"/>
      <c r="K192" s="517"/>
      <c r="L192" s="517"/>
      <c r="M192" s="517"/>
      <c r="N192" s="517"/>
      <c r="O192" s="517"/>
      <c r="P192" s="517"/>
      <c r="Q192" s="517"/>
      <c r="R192" s="517"/>
      <c r="S192" s="517"/>
      <c r="T192" s="517"/>
      <c r="U192" s="517"/>
      <c r="V192" s="517"/>
      <c r="W192" s="517"/>
      <c r="X192" s="517"/>
      <c r="Y192" s="517"/>
      <c r="Z192" s="517"/>
      <c r="AA192" s="517"/>
      <c r="AB192" s="517"/>
      <c r="AC192" s="517"/>
      <c r="AD192" s="517"/>
    </row>
    <row r="193" spans="3:30">
      <c r="C193" s="517"/>
      <c r="D193" s="517"/>
      <c r="E193" s="517"/>
      <c r="F193" s="517"/>
      <c r="G193" s="517"/>
      <c r="H193" s="517"/>
      <c r="I193" s="517"/>
      <c r="J193" s="517"/>
      <c r="K193" s="517"/>
      <c r="L193" s="517"/>
      <c r="M193" s="517"/>
      <c r="N193" s="517"/>
      <c r="O193" s="517"/>
      <c r="P193" s="517"/>
      <c r="Q193" s="517"/>
      <c r="R193" s="517"/>
      <c r="S193" s="517"/>
      <c r="T193" s="517"/>
      <c r="U193" s="517"/>
      <c r="V193" s="517"/>
      <c r="W193" s="517"/>
      <c r="X193" s="517"/>
      <c r="Y193" s="517"/>
      <c r="Z193" s="517"/>
      <c r="AA193" s="517"/>
      <c r="AB193" s="517"/>
      <c r="AC193" s="517"/>
      <c r="AD193" s="517"/>
    </row>
    <row r="194" spans="3:30">
      <c r="C194" s="517"/>
      <c r="D194" s="517"/>
      <c r="E194" s="517"/>
      <c r="F194" s="517"/>
      <c r="G194" s="517"/>
      <c r="H194" s="517"/>
      <c r="I194" s="517"/>
      <c r="J194" s="517"/>
      <c r="K194" s="517"/>
      <c r="L194" s="517"/>
      <c r="M194" s="517"/>
      <c r="N194" s="517"/>
      <c r="O194" s="517"/>
      <c r="P194" s="517"/>
      <c r="Q194" s="517"/>
      <c r="R194" s="517"/>
      <c r="S194" s="517"/>
      <c r="T194" s="517"/>
      <c r="U194" s="517"/>
      <c r="V194" s="517"/>
      <c r="W194" s="517"/>
      <c r="X194" s="517"/>
      <c r="Y194" s="517"/>
      <c r="Z194" s="517"/>
      <c r="AA194" s="517"/>
      <c r="AB194" s="517"/>
      <c r="AC194" s="517"/>
      <c r="AD194" s="517"/>
    </row>
    <row r="195" spans="3:30">
      <c r="C195" s="517"/>
      <c r="D195" s="517"/>
      <c r="E195" s="517"/>
      <c r="F195" s="517"/>
      <c r="G195" s="517"/>
      <c r="H195" s="517"/>
      <c r="I195" s="517"/>
      <c r="J195" s="517"/>
      <c r="K195" s="517"/>
      <c r="L195" s="517"/>
      <c r="M195" s="517"/>
      <c r="N195" s="517"/>
      <c r="O195" s="517"/>
      <c r="P195" s="517"/>
      <c r="Q195" s="517"/>
      <c r="R195" s="517"/>
      <c r="S195" s="517"/>
      <c r="T195" s="517"/>
      <c r="U195" s="517"/>
      <c r="V195" s="517"/>
      <c r="W195" s="517"/>
      <c r="X195" s="517"/>
      <c r="Y195" s="517"/>
      <c r="Z195" s="517"/>
      <c r="AA195" s="517"/>
      <c r="AB195" s="517"/>
      <c r="AC195" s="517"/>
      <c r="AD195" s="517"/>
    </row>
    <row r="196" spans="3:30">
      <c r="C196" s="517"/>
      <c r="D196" s="517"/>
      <c r="E196" s="517"/>
      <c r="F196" s="517"/>
      <c r="G196" s="517"/>
      <c r="H196" s="517"/>
      <c r="I196" s="517"/>
      <c r="J196" s="517"/>
      <c r="K196" s="517"/>
      <c r="L196" s="517"/>
      <c r="M196" s="517"/>
      <c r="N196" s="517"/>
      <c r="O196" s="517"/>
      <c r="P196" s="517"/>
      <c r="Q196" s="517"/>
      <c r="R196" s="517"/>
      <c r="S196" s="517"/>
      <c r="T196" s="517"/>
      <c r="U196" s="517"/>
      <c r="V196" s="517"/>
      <c r="W196" s="517"/>
      <c r="X196" s="517"/>
      <c r="Y196" s="517"/>
      <c r="Z196" s="517"/>
      <c r="AA196" s="517"/>
      <c r="AB196" s="517"/>
      <c r="AC196" s="517"/>
      <c r="AD196" s="517"/>
    </row>
    <row r="197" spans="3:30">
      <c r="C197" s="517"/>
      <c r="D197" s="517"/>
      <c r="E197" s="517"/>
      <c r="F197" s="517"/>
      <c r="G197" s="517"/>
      <c r="H197" s="517"/>
      <c r="I197" s="517"/>
      <c r="J197" s="517"/>
      <c r="K197" s="517"/>
      <c r="L197" s="517"/>
      <c r="M197" s="517"/>
      <c r="N197" s="517"/>
      <c r="O197" s="517"/>
      <c r="P197" s="517"/>
      <c r="Q197" s="517"/>
      <c r="R197" s="517"/>
      <c r="S197" s="517"/>
      <c r="T197" s="517"/>
      <c r="U197" s="517"/>
      <c r="V197" s="517"/>
      <c r="W197" s="517"/>
      <c r="X197" s="517"/>
      <c r="Y197" s="517"/>
      <c r="Z197" s="517"/>
      <c r="AA197" s="517"/>
      <c r="AB197" s="517"/>
      <c r="AC197" s="517"/>
      <c r="AD197" s="517"/>
    </row>
    <row r="198" spans="3:30">
      <c r="C198" s="517"/>
      <c r="D198" s="517"/>
      <c r="E198" s="517"/>
      <c r="F198" s="517"/>
      <c r="G198" s="517"/>
      <c r="H198" s="517"/>
      <c r="I198" s="517"/>
      <c r="J198" s="517"/>
      <c r="K198" s="517"/>
      <c r="L198" s="517"/>
      <c r="M198" s="517"/>
      <c r="N198" s="517"/>
      <c r="O198" s="517"/>
      <c r="P198" s="517"/>
      <c r="Q198" s="517"/>
      <c r="R198" s="517"/>
      <c r="S198" s="517"/>
      <c r="T198" s="517"/>
      <c r="U198" s="517"/>
      <c r="V198" s="517"/>
      <c r="W198" s="517"/>
      <c r="X198" s="517"/>
      <c r="Y198" s="517"/>
      <c r="Z198" s="517"/>
      <c r="AA198" s="517"/>
      <c r="AB198" s="517"/>
      <c r="AC198" s="517"/>
      <c r="AD198" s="517"/>
    </row>
    <row r="199" spans="3:30">
      <c r="C199" s="517"/>
      <c r="D199" s="517"/>
      <c r="E199" s="517"/>
      <c r="F199" s="517"/>
      <c r="G199" s="517"/>
      <c r="H199" s="517"/>
      <c r="I199" s="517"/>
      <c r="J199" s="517"/>
      <c r="K199" s="517"/>
      <c r="L199" s="517"/>
      <c r="M199" s="517"/>
      <c r="N199" s="517"/>
      <c r="O199" s="517"/>
      <c r="P199" s="517"/>
      <c r="Q199" s="517"/>
      <c r="R199" s="517"/>
      <c r="S199" s="517"/>
      <c r="T199" s="517"/>
      <c r="U199" s="517"/>
      <c r="V199" s="517"/>
      <c r="W199" s="517"/>
      <c r="X199" s="517"/>
      <c r="Y199" s="517"/>
      <c r="Z199" s="517"/>
      <c r="AA199" s="517"/>
      <c r="AB199" s="517"/>
      <c r="AC199" s="517"/>
      <c r="AD199" s="517"/>
    </row>
    <row r="200" spans="3:30">
      <c r="C200" s="517"/>
      <c r="D200" s="517"/>
      <c r="E200" s="517"/>
      <c r="F200" s="517"/>
      <c r="G200" s="517"/>
      <c r="H200" s="517"/>
      <c r="I200" s="517"/>
      <c r="J200" s="517"/>
      <c r="K200" s="517"/>
      <c r="L200" s="517"/>
      <c r="M200" s="517"/>
      <c r="N200" s="517"/>
      <c r="O200" s="517"/>
      <c r="P200" s="517"/>
      <c r="Q200" s="517"/>
      <c r="R200" s="517"/>
      <c r="S200" s="517"/>
      <c r="T200" s="517"/>
      <c r="U200" s="517"/>
      <c r="V200" s="517"/>
      <c r="W200" s="517"/>
      <c r="X200" s="517"/>
      <c r="Y200" s="517"/>
      <c r="Z200" s="517"/>
      <c r="AA200" s="517"/>
      <c r="AB200" s="517"/>
      <c r="AC200" s="517"/>
      <c r="AD200" s="517"/>
    </row>
    <row r="201" spans="3:30">
      <c r="C201" s="517"/>
      <c r="D201" s="517"/>
      <c r="E201" s="517"/>
      <c r="F201" s="517"/>
      <c r="G201" s="517"/>
      <c r="H201" s="517"/>
      <c r="I201" s="517"/>
      <c r="J201" s="517"/>
      <c r="K201" s="517"/>
      <c r="L201" s="517"/>
      <c r="M201" s="517"/>
      <c r="N201" s="517"/>
      <c r="O201" s="517"/>
      <c r="P201" s="517"/>
      <c r="Q201" s="517"/>
      <c r="R201" s="517"/>
      <c r="S201" s="517"/>
      <c r="T201" s="517"/>
      <c r="U201" s="517"/>
      <c r="V201" s="517"/>
      <c r="W201" s="517"/>
      <c r="X201" s="517"/>
      <c r="Y201" s="517"/>
      <c r="Z201" s="517"/>
      <c r="AA201" s="517"/>
      <c r="AB201" s="517"/>
      <c r="AC201" s="517"/>
      <c r="AD201" s="517"/>
    </row>
    <row r="202" spans="3:30">
      <c r="C202" s="517"/>
      <c r="D202" s="517"/>
      <c r="E202" s="517"/>
      <c r="F202" s="517"/>
      <c r="G202" s="517"/>
      <c r="H202" s="517"/>
      <c r="I202" s="517"/>
      <c r="J202" s="517"/>
      <c r="K202" s="517"/>
      <c r="L202" s="517"/>
      <c r="M202" s="517"/>
      <c r="N202" s="517"/>
      <c r="O202" s="517"/>
      <c r="P202" s="517"/>
      <c r="Q202" s="517"/>
      <c r="R202" s="517"/>
      <c r="S202" s="517"/>
      <c r="T202" s="517"/>
      <c r="U202" s="517"/>
      <c r="V202" s="517"/>
      <c r="W202" s="517"/>
      <c r="X202" s="517"/>
      <c r="Y202" s="517"/>
      <c r="Z202" s="517"/>
      <c r="AA202" s="517"/>
      <c r="AB202" s="517"/>
      <c r="AC202" s="517"/>
      <c r="AD202" s="517"/>
    </row>
    <row r="203" spans="3:30">
      <c r="C203" s="517"/>
      <c r="D203" s="517"/>
      <c r="E203" s="517"/>
      <c r="F203" s="517"/>
      <c r="G203" s="517"/>
      <c r="H203" s="517"/>
      <c r="I203" s="517"/>
      <c r="J203" s="517"/>
      <c r="K203" s="517"/>
      <c r="L203" s="517"/>
      <c r="M203" s="517"/>
      <c r="N203" s="517"/>
      <c r="O203" s="517"/>
      <c r="P203" s="517"/>
      <c r="Q203" s="517"/>
      <c r="R203" s="517"/>
      <c r="S203" s="517"/>
      <c r="T203" s="517"/>
      <c r="U203" s="517"/>
      <c r="V203" s="517"/>
      <c r="W203" s="517"/>
      <c r="X203" s="517"/>
      <c r="Y203" s="517"/>
      <c r="Z203" s="517"/>
      <c r="AA203" s="517"/>
      <c r="AB203" s="517"/>
      <c r="AC203" s="517"/>
      <c r="AD203" s="517"/>
    </row>
    <row r="204" spans="3:30">
      <c r="C204" s="517"/>
      <c r="D204" s="517"/>
      <c r="E204" s="517"/>
      <c r="F204" s="517"/>
      <c r="G204" s="517"/>
      <c r="H204" s="517"/>
      <c r="I204" s="517"/>
      <c r="J204" s="517"/>
      <c r="K204" s="517"/>
      <c r="L204" s="517"/>
      <c r="M204" s="517"/>
      <c r="N204" s="517"/>
      <c r="O204" s="517"/>
      <c r="P204" s="517"/>
      <c r="Q204" s="517"/>
      <c r="R204" s="517"/>
      <c r="S204" s="517"/>
      <c r="T204" s="517"/>
      <c r="U204" s="517"/>
      <c r="V204" s="517"/>
      <c r="W204" s="517"/>
      <c r="X204" s="517"/>
      <c r="Y204" s="517"/>
      <c r="Z204" s="517"/>
      <c r="AA204" s="517"/>
      <c r="AB204" s="517"/>
      <c r="AC204" s="517"/>
      <c r="AD204" s="517"/>
    </row>
    <row r="205" spans="3:30">
      <c r="C205" s="517"/>
      <c r="D205" s="517"/>
      <c r="E205" s="517"/>
      <c r="F205" s="517"/>
      <c r="G205" s="517"/>
      <c r="H205" s="517"/>
      <c r="I205" s="517"/>
      <c r="J205" s="517"/>
      <c r="K205" s="517"/>
      <c r="L205" s="517"/>
      <c r="M205" s="517"/>
      <c r="N205" s="517"/>
      <c r="O205" s="517"/>
      <c r="P205" s="517"/>
      <c r="Q205" s="517"/>
      <c r="R205" s="517"/>
      <c r="S205" s="517"/>
      <c r="T205" s="517"/>
      <c r="U205" s="517"/>
      <c r="V205" s="517"/>
      <c r="W205" s="517"/>
      <c r="X205" s="517"/>
      <c r="Y205" s="517"/>
      <c r="Z205" s="517"/>
      <c r="AA205" s="517"/>
      <c r="AB205" s="517"/>
      <c r="AC205" s="517"/>
      <c r="AD205" s="517"/>
    </row>
    <row r="206" spans="3:30">
      <c r="C206" s="517"/>
      <c r="D206" s="517"/>
      <c r="E206" s="517"/>
      <c r="F206" s="517"/>
      <c r="G206" s="517"/>
      <c r="H206" s="517"/>
      <c r="I206" s="517"/>
      <c r="J206" s="517"/>
      <c r="K206" s="517"/>
      <c r="L206" s="517"/>
      <c r="M206" s="517"/>
      <c r="N206" s="517"/>
      <c r="O206" s="517"/>
      <c r="P206" s="517"/>
      <c r="Q206" s="517"/>
      <c r="R206" s="517"/>
      <c r="S206" s="517"/>
      <c r="T206" s="517"/>
      <c r="U206" s="517"/>
      <c r="V206" s="517"/>
      <c r="W206" s="517"/>
      <c r="X206" s="517"/>
      <c r="Y206" s="517"/>
      <c r="Z206" s="517"/>
      <c r="AA206" s="517"/>
      <c r="AB206" s="517"/>
      <c r="AC206" s="517"/>
      <c r="AD206" s="517"/>
    </row>
    <row r="207" spans="3:30">
      <c r="C207" s="517"/>
      <c r="D207" s="517"/>
      <c r="E207" s="517"/>
      <c r="F207" s="517"/>
      <c r="G207" s="517"/>
      <c r="H207" s="517"/>
      <c r="I207" s="517"/>
      <c r="J207" s="517"/>
      <c r="K207" s="517"/>
      <c r="L207" s="517"/>
      <c r="M207" s="517"/>
      <c r="N207" s="517"/>
      <c r="O207" s="517"/>
      <c r="P207" s="517"/>
      <c r="Q207" s="517"/>
      <c r="R207" s="517"/>
      <c r="S207" s="517"/>
      <c r="T207" s="517"/>
      <c r="U207" s="517"/>
      <c r="V207" s="517"/>
      <c r="W207" s="517"/>
      <c r="X207" s="517"/>
      <c r="Y207" s="517"/>
      <c r="Z207" s="517"/>
      <c r="AA207" s="517"/>
      <c r="AB207" s="517"/>
      <c r="AC207" s="517"/>
      <c r="AD207" s="517"/>
    </row>
    <row r="208" spans="3:30">
      <c r="C208" s="517"/>
      <c r="D208" s="517"/>
      <c r="E208" s="517"/>
      <c r="F208" s="517"/>
      <c r="G208" s="517"/>
      <c r="H208" s="517"/>
      <c r="I208" s="517"/>
      <c r="J208" s="517"/>
      <c r="K208" s="517"/>
      <c r="L208" s="517"/>
      <c r="M208" s="517"/>
      <c r="N208" s="517"/>
      <c r="O208" s="517"/>
      <c r="P208" s="517"/>
      <c r="Q208" s="517"/>
      <c r="R208" s="517"/>
      <c r="S208" s="517"/>
      <c r="T208" s="517"/>
      <c r="U208" s="517"/>
      <c r="V208" s="517"/>
      <c r="W208" s="517"/>
      <c r="X208" s="517"/>
      <c r="Y208" s="517"/>
      <c r="Z208" s="517"/>
      <c r="AA208" s="517"/>
      <c r="AB208" s="517"/>
      <c r="AC208" s="517"/>
      <c r="AD208" s="517"/>
    </row>
    <row r="209" spans="3:30">
      <c r="C209" s="517"/>
      <c r="D209" s="517"/>
      <c r="E209" s="517"/>
      <c r="F209" s="517"/>
      <c r="G209" s="517"/>
      <c r="H209" s="517"/>
      <c r="I209" s="517"/>
      <c r="J209" s="517"/>
      <c r="K209" s="517"/>
      <c r="L209" s="517"/>
      <c r="M209" s="517"/>
      <c r="N209" s="517"/>
      <c r="O209" s="517"/>
      <c r="P209" s="517"/>
      <c r="Q209" s="517"/>
      <c r="R209" s="517"/>
      <c r="S209" s="517"/>
      <c r="T209" s="517"/>
      <c r="U209" s="517"/>
      <c r="V209" s="517"/>
      <c r="W209" s="517"/>
      <c r="X209" s="517"/>
      <c r="Y209" s="517"/>
      <c r="Z209" s="517"/>
      <c r="AA209" s="517"/>
      <c r="AB209" s="517"/>
      <c r="AC209" s="517"/>
      <c r="AD209" s="517"/>
    </row>
    <row r="210" spans="3:30">
      <c r="C210" s="517"/>
      <c r="D210" s="517"/>
      <c r="E210" s="517"/>
      <c r="F210" s="517"/>
      <c r="G210" s="517"/>
      <c r="H210" s="517"/>
      <c r="I210" s="517"/>
      <c r="J210" s="517"/>
      <c r="K210" s="517"/>
      <c r="L210" s="517"/>
      <c r="M210" s="517"/>
      <c r="N210" s="517"/>
      <c r="O210" s="517"/>
      <c r="P210" s="517"/>
      <c r="Q210" s="517"/>
      <c r="R210" s="517"/>
      <c r="S210" s="517"/>
      <c r="T210" s="517"/>
      <c r="U210" s="517"/>
      <c r="V210" s="517"/>
      <c r="W210" s="517"/>
      <c r="X210" s="517"/>
      <c r="Y210" s="517"/>
      <c r="Z210" s="517"/>
      <c r="AA210" s="517"/>
      <c r="AB210" s="517"/>
      <c r="AC210" s="517"/>
      <c r="AD210" s="517"/>
    </row>
    <row r="211" spans="3:30">
      <c r="C211" s="517"/>
      <c r="D211" s="517"/>
      <c r="E211" s="517"/>
      <c r="F211" s="517"/>
      <c r="G211" s="517"/>
      <c r="H211" s="517"/>
      <c r="I211" s="517"/>
      <c r="J211" s="517"/>
      <c r="K211" s="517"/>
      <c r="L211" s="517"/>
      <c r="M211" s="517"/>
      <c r="N211" s="517"/>
      <c r="O211" s="517"/>
      <c r="P211" s="517"/>
      <c r="Q211" s="517"/>
      <c r="R211" s="517"/>
      <c r="S211" s="517"/>
      <c r="T211" s="517"/>
      <c r="U211" s="517"/>
      <c r="V211" s="517"/>
      <c r="W211" s="517"/>
      <c r="X211" s="517"/>
      <c r="Y211" s="517"/>
      <c r="Z211" s="517"/>
      <c r="AA211" s="517"/>
      <c r="AB211" s="517"/>
      <c r="AC211" s="517"/>
      <c r="AD211" s="517"/>
    </row>
    <row r="212" spans="3:30">
      <c r="C212" s="517"/>
      <c r="D212" s="517"/>
      <c r="E212" s="517"/>
      <c r="F212" s="517"/>
      <c r="G212" s="517"/>
      <c r="H212" s="517"/>
      <c r="I212" s="517"/>
      <c r="J212" s="517"/>
      <c r="K212" s="517"/>
      <c r="L212" s="517"/>
      <c r="M212" s="517"/>
      <c r="N212" s="517"/>
      <c r="O212" s="517"/>
      <c r="P212" s="517"/>
      <c r="Q212" s="517"/>
      <c r="R212" s="517"/>
      <c r="S212" s="517"/>
      <c r="T212" s="517"/>
      <c r="U212" s="517"/>
      <c r="V212" s="517"/>
      <c r="W212" s="517"/>
      <c r="X212" s="517"/>
      <c r="Y212" s="517"/>
      <c r="Z212" s="517"/>
      <c r="AA212" s="517"/>
      <c r="AB212" s="517"/>
      <c r="AC212" s="517"/>
      <c r="AD212" s="517"/>
    </row>
    <row r="213" spans="3:30">
      <c r="C213" s="517"/>
      <c r="D213" s="517"/>
      <c r="E213" s="517"/>
      <c r="F213" s="517"/>
      <c r="G213" s="517"/>
      <c r="H213" s="517"/>
      <c r="I213" s="517"/>
      <c r="J213" s="517"/>
      <c r="K213" s="517"/>
      <c r="L213" s="517"/>
      <c r="M213" s="517"/>
      <c r="N213" s="517"/>
      <c r="O213" s="517"/>
      <c r="P213" s="517"/>
      <c r="Q213" s="517"/>
      <c r="R213" s="517"/>
      <c r="S213" s="517"/>
      <c r="T213" s="517"/>
      <c r="U213" s="517"/>
      <c r="V213" s="517"/>
      <c r="W213" s="517"/>
      <c r="X213" s="517"/>
      <c r="Y213" s="517"/>
      <c r="Z213" s="517"/>
      <c r="AA213" s="517"/>
      <c r="AB213" s="517"/>
      <c r="AC213" s="517"/>
      <c r="AD213" s="517"/>
    </row>
    <row r="214" spans="3:30">
      <c r="C214" s="517"/>
      <c r="D214" s="517"/>
      <c r="E214" s="517"/>
      <c r="F214" s="517"/>
      <c r="G214" s="517"/>
      <c r="H214" s="517"/>
      <c r="I214" s="517"/>
      <c r="J214" s="517"/>
      <c r="K214" s="517"/>
      <c r="L214" s="517"/>
      <c r="M214" s="517"/>
      <c r="N214" s="517"/>
      <c r="O214" s="517"/>
      <c r="P214" s="517"/>
      <c r="Q214" s="517"/>
      <c r="R214" s="517"/>
      <c r="S214" s="517"/>
      <c r="T214" s="517"/>
      <c r="U214" s="517"/>
      <c r="V214" s="517"/>
      <c r="W214" s="517"/>
      <c r="X214" s="517"/>
      <c r="Y214" s="517"/>
      <c r="Z214" s="517"/>
      <c r="AA214" s="517"/>
      <c r="AB214" s="517"/>
      <c r="AC214" s="517"/>
      <c r="AD214" s="517"/>
    </row>
    <row r="215" spans="3:30">
      <c r="C215" s="517"/>
      <c r="D215" s="517"/>
      <c r="E215" s="517"/>
      <c r="F215" s="517"/>
      <c r="G215" s="517"/>
      <c r="H215" s="517"/>
      <c r="I215" s="517"/>
      <c r="J215" s="517"/>
      <c r="K215" s="517"/>
      <c r="L215" s="517"/>
      <c r="M215" s="517"/>
      <c r="N215" s="517"/>
      <c r="O215" s="517"/>
      <c r="P215" s="517"/>
      <c r="Q215" s="517"/>
      <c r="R215" s="517"/>
      <c r="S215" s="517"/>
      <c r="T215" s="517"/>
      <c r="U215" s="517"/>
      <c r="V215" s="517"/>
      <c r="W215" s="517"/>
      <c r="X215" s="517"/>
      <c r="Y215" s="517"/>
      <c r="Z215" s="517"/>
      <c r="AA215" s="517"/>
      <c r="AB215" s="517"/>
      <c r="AC215" s="517"/>
      <c r="AD215" s="517"/>
    </row>
    <row r="216" spans="3:30">
      <c r="C216" s="517"/>
      <c r="D216" s="517"/>
      <c r="E216" s="517"/>
      <c r="F216" s="517"/>
      <c r="G216" s="517"/>
      <c r="H216" s="517"/>
      <c r="I216" s="517"/>
      <c r="J216" s="517"/>
      <c r="K216" s="517"/>
      <c r="L216" s="517"/>
      <c r="M216" s="517"/>
      <c r="N216" s="517"/>
      <c r="O216" s="517"/>
      <c r="P216" s="517"/>
      <c r="Q216" s="517"/>
      <c r="R216" s="517"/>
      <c r="S216" s="517"/>
      <c r="T216" s="517"/>
      <c r="U216" s="517"/>
      <c r="V216" s="517"/>
      <c r="W216" s="517"/>
      <c r="X216" s="517"/>
      <c r="Y216" s="517"/>
      <c r="Z216" s="517"/>
      <c r="AA216" s="517"/>
      <c r="AB216" s="517"/>
      <c r="AC216" s="517"/>
      <c r="AD216" s="517"/>
    </row>
    <row r="217" spans="3:30">
      <c r="C217" s="517"/>
      <c r="D217" s="517"/>
      <c r="E217" s="517"/>
      <c r="F217" s="517"/>
      <c r="G217" s="517"/>
      <c r="H217" s="517"/>
      <c r="I217" s="517"/>
      <c r="J217" s="517"/>
      <c r="K217" s="517"/>
      <c r="L217" s="517"/>
      <c r="M217" s="517"/>
      <c r="N217" s="517"/>
      <c r="O217" s="517"/>
      <c r="P217" s="517"/>
      <c r="Q217" s="517"/>
      <c r="R217" s="517"/>
      <c r="S217" s="517"/>
      <c r="T217" s="517"/>
      <c r="U217" s="517"/>
      <c r="V217" s="517"/>
      <c r="W217" s="517"/>
      <c r="X217" s="517"/>
      <c r="Y217" s="517"/>
      <c r="Z217" s="517"/>
      <c r="AA217" s="517"/>
      <c r="AB217" s="517"/>
      <c r="AC217" s="517"/>
      <c r="AD217" s="517"/>
    </row>
    <row r="218" spans="3:30">
      <c r="C218" s="517"/>
      <c r="D218" s="517"/>
      <c r="E218" s="517"/>
      <c r="F218" s="517"/>
      <c r="G218" s="517"/>
      <c r="H218" s="517"/>
      <c r="I218" s="517"/>
      <c r="J218" s="517"/>
      <c r="K218" s="517"/>
      <c r="L218" s="517"/>
      <c r="M218" s="517"/>
      <c r="N218" s="517"/>
      <c r="O218" s="517"/>
      <c r="P218" s="517"/>
      <c r="Q218" s="517"/>
      <c r="R218" s="517"/>
      <c r="S218" s="517"/>
      <c r="T218" s="517"/>
      <c r="U218" s="517"/>
      <c r="V218" s="517"/>
      <c r="W218" s="517"/>
      <c r="X218" s="517"/>
      <c r="Y218" s="517"/>
      <c r="Z218" s="517"/>
      <c r="AA218" s="517"/>
      <c r="AB218" s="517"/>
      <c r="AC218" s="517"/>
      <c r="AD218" s="517"/>
    </row>
    <row r="219" spans="3:30">
      <c r="C219" s="517"/>
      <c r="D219" s="517"/>
      <c r="E219" s="517"/>
      <c r="F219" s="517"/>
      <c r="G219" s="517"/>
      <c r="H219" s="517"/>
      <c r="I219" s="517"/>
      <c r="J219" s="517"/>
      <c r="K219" s="517"/>
      <c r="L219" s="517"/>
      <c r="M219" s="517"/>
      <c r="N219" s="517"/>
      <c r="O219" s="517"/>
      <c r="P219" s="517"/>
      <c r="Q219" s="517"/>
      <c r="R219" s="517"/>
      <c r="S219" s="517"/>
      <c r="T219" s="517"/>
      <c r="U219" s="517"/>
      <c r="V219" s="517"/>
      <c r="W219" s="517"/>
      <c r="X219" s="517"/>
      <c r="Y219" s="517"/>
      <c r="Z219" s="517"/>
      <c r="AA219" s="517"/>
      <c r="AB219" s="517"/>
      <c r="AC219" s="517"/>
      <c r="AD219" s="517"/>
    </row>
    <row r="220" spans="3:30">
      <c r="C220" s="517"/>
      <c r="D220" s="517"/>
      <c r="E220" s="517"/>
      <c r="F220" s="517"/>
      <c r="G220" s="517"/>
      <c r="H220" s="517"/>
      <c r="I220" s="517"/>
      <c r="J220" s="517"/>
      <c r="K220" s="517"/>
      <c r="L220" s="517"/>
      <c r="M220" s="517"/>
      <c r="N220" s="517"/>
      <c r="O220" s="517"/>
      <c r="P220" s="517"/>
      <c r="Q220" s="517"/>
      <c r="R220" s="517"/>
      <c r="S220" s="517"/>
      <c r="T220" s="517"/>
      <c r="U220" s="517"/>
      <c r="V220" s="517"/>
      <c r="W220" s="517"/>
      <c r="X220" s="517"/>
      <c r="Y220" s="517"/>
      <c r="Z220" s="517"/>
      <c r="AA220" s="517"/>
      <c r="AB220" s="517"/>
      <c r="AC220" s="517"/>
      <c r="AD220" s="517"/>
    </row>
    <row r="221" spans="3:30">
      <c r="C221" s="517"/>
      <c r="D221" s="517"/>
      <c r="E221" s="517"/>
      <c r="F221" s="517"/>
      <c r="G221" s="517"/>
      <c r="H221" s="517"/>
      <c r="I221" s="517"/>
      <c r="J221" s="517"/>
      <c r="K221" s="517"/>
      <c r="L221" s="517"/>
      <c r="M221" s="517"/>
      <c r="N221" s="517"/>
      <c r="O221" s="517"/>
      <c r="P221" s="517"/>
      <c r="Q221" s="517"/>
      <c r="R221" s="517"/>
      <c r="S221" s="517"/>
      <c r="T221" s="517"/>
      <c r="U221" s="517"/>
      <c r="V221" s="517"/>
      <c r="W221" s="517"/>
      <c r="X221" s="517"/>
      <c r="Y221" s="517"/>
      <c r="Z221" s="517"/>
      <c r="AA221" s="517"/>
      <c r="AB221" s="517"/>
      <c r="AC221" s="517"/>
      <c r="AD221" s="517"/>
    </row>
    <row r="222" spans="3:30">
      <c r="C222" s="517"/>
      <c r="D222" s="517"/>
      <c r="E222" s="517"/>
      <c r="F222" s="517"/>
      <c r="G222" s="517"/>
      <c r="H222" s="517"/>
      <c r="I222" s="517"/>
      <c r="J222" s="517"/>
      <c r="K222" s="517"/>
      <c r="L222" s="517"/>
      <c r="M222" s="517"/>
      <c r="N222" s="517"/>
      <c r="O222" s="517"/>
      <c r="P222" s="517"/>
      <c r="Q222" s="517"/>
      <c r="R222" s="517"/>
      <c r="S222" s="517"/>
      <c r="T222" s="517"/>
      <c r="U222" s="517"/>
      <c r="V222" s="517"/>
      <c r="W222" s="517"/>
      <c r="X222" s="517"/>
      <c r="Y222" s="517"/>
      <c r="Z222" s="517"/>
      <c r="AA222" s="517"/>
      <c r="AB222" s="517"/>
      <c r="AC222" s="517"/>
      <c r="AD222" s="517"/>
    </row>
    <row r="223" spans="3:30">
      <c r="C223" s="517"/>
      <c r="D223" s="517"/>
      <c r="E223" s="517"/>
      <c r="F223" s="517"/>
      <c r="G223" s="517"/>
      <c r="H223" s="517"/>
      <c r="I223" s="517"/>
      <c r="J223" s="517"/>
      <c r="K223" s="517"/>
      <c r="L223" s="517"/>
      <c r="M223" s="517"/>
      <c r="N223" s="517"/>
      <c r="O223" s="517"/>
      <c r="P223" s="517"/>
      <c r="Q223" s="517"/>
      <c r="R223" s="517"/>
      <c r="S223" s="517"/>
      <c r="T223" s="517"/>
      <c r="U223" s="517"/>
      <c r="V223" s="517"/>
      <c r="W223" s="517"/>
      <c r="X223" s="517"/>
      <c r="Y223" s="517"/>
      <c r="Z223" s="517"/>
      <c r="AA223" s="517"/>
      <c r="AB223" s="517"/>
      <c r="AC223" s="517"/>
      <c r="AD223" s="517"/>
    </row>
    <row r="224" spans="3:30">
      <c r="C224" s="517"/>
      <c r="D224" s="517"/>
      <c r="E224" s="517"/>
      <c r="F224" s="517"/>
      <c r="G224" s="517"/>
      <c r="H224" s="517"/>
      <c r="I224" s="517"/>
      <c r="J224" s="517"/>
      <c r="K224" s="517"/>
      <c r="L224" s="517"/>
      <c r="M224" s="517"/>
      <c r="N224" s="517"/>
      <c r="O224" s="517"/>
      <c r="P224" s="517"/>
      <c r="Q224" s="517"/>
      <c r="R224" s="517"/>
      <c r="S224" s="517"/>
      <c r="T224" s="517"/>
      <c r="U224" s="517"/>
      <c r="V224" s="517"/>
      <c r="W224" s="517"/>
      <c r="X224" s="517"/>
      <c r="Y224" s="517"/>
      <c r="Z224" s="517"/>
      <c r="AA224" s="517"/>
      <c r="AB224" s="517"/>
      <c r="AC224" s="517"/>
      <c r="AD224" s="517"/>
    </row>
    <row r="225" spans="3:30">
      <c r="C225" s="517"/>
      <c r="D225" s="517"/>
      <c r="E225" s="517"/>
      <c r="F225" s="517"/>
      <c r="G225" s="517"/>
      <c r="H225" s="517"/>
      <c r="I225" s="517"/>
      <c r="J225" s="517"/>
      <c r="K225" s="517"/>
      <c r="L225" s="517"/>
      <c r="M225" s="517"/>
      <c r="N225" s="517"/>
      <c r="O225" s="517"/>
      <c r="P225" s="517"/>
      <c r="Q225" s="517"/>
      <c r="R225" s="517"/>
      <c r="S225" s="517"/>
      <c r="T225" s="517"/>
      <c r="U225" s="517"/>
      <c r="V225" s="517"/>
      <c r="W225" s="517"/>
      <c r="X225" s="517"/>
      <c r="Y225" s="517"/>
      <c r="Z225" s="517"/>
      <c r="AA225" s="517"/>
      <c r="AB225" s="517"/>
      <c r="AC225" s="517"/>
      <c r="AD225" s="517"/>
    </row>
    <row r="226" spans="3:30">
      <c r="C226" s="517"/>
      <c r="D226" s="517"/>
      <c r="E226" s="517"/>
      <c r="F226" s="517"/>
      <c r="G226" s="517"/>
      <c r="H226" s="517"/>
      <c r="I226" s="517"/>
      <c r="J226" s="517"/>
      <c r="K226" s="517"/>
      <c r="L226" s="517"/>
      <c r="M226" s="517"/>
      <c r="N226" s="517"/>
      <c r="O226" s="517"/>
      <c r="P226" s="517"/>
      <c r="Q226" s="517"/>
      <c r="R226" s="517"/>
      <c r="S226" s="517"/>
      <c r="T226" s="517"/>
      <c r="U226" s="517"/>
      <c r="V226" s="517"/>
      <c r="W226" s="517"/>
      <c r="X226" s="517"/>
      <c r="Y226" s="517"/>
      <c r="Z226" s="517"/>
      <c r="AA226" s="517"/>
      <c r="AB226" s="517"/>
      <c r="AC226" s="517"/>
      <c r="AD226" s="517"/>
    </row>
    <row r="227" spans="3:30">
      <c r="C227" s="517"/>
      <c r="D227" s="517"/>
      <c r="E227" s="517"/>
      <c r="F227" s="517"/>
      <c r="G227" s="517"/>
      <c r="H227" s="517"/>
      <c r="I227" s="517"/>
      <c r="J227" s="517"/>
      <c r="K227" s="517"/>
      <c r="L227" s="517"/>
      <c r="M227" s="517"/>
      <c r="N227" s="517"/>
      <c r="O227" s="517"/>
      <c r="P227" s="517"/>
      <c r="Q227" s="517"/>
      <c r="R227" s="517"/>
      <c r="S227" s="517"/>
      <c r="T227" s="517"/>
      <c r="U227" s="517"/>
      <c r="V227" s="517"/>
      <c r="W227" s="517"/>
      <c r="X227" s="517"/>
      <c r="Y227" s="517"/>
      <c r="Z227" s="517"/>
      <c r="AA227" s="517"/>
      <c r="AB227" s="517"/>
      <c r="AC227" s="517"/>
      <c r="AD227" s="517"/>
    </row>
    <row r="228" spans="3:30">
      <c r="C228" s="517"/>
      <c r="D228" s="517"/>
      <c r="E228" s="517"/>
      <c r="F228" s="517"/>
      <c r="G228" s="517"/>
      <c r="H228" s="517"/>
      <c r="I228" s="517"/>
      <c r="J228" s="517"/>
      <c r="K228" s="517"/>
      <c r="L228" s="517"/>
      <c r="M228" s="517"/>
      <c r="N228" s="517"/>
      <c r="O228" s="517"/>
      <c r="P228" s="517"/>
      <c r="Q228" s="517"/>
      <c r="R228" s="517"/>
      <c r="S228" s="517"/>
      <c r="T228" s="517"/>
      <c r="U228" s="517"/>
      <c r="V228" s="517"/>
      <c r="W228" s="517"/>
      <c r="X228" s="517"/>
      <c r="Y228" s="517"/>
      <c r="Z228" s="517"/>
      <c r="AA228" s="517"/>
      <c r="AB228" s="517"/>
      <c r="AC228" s="517"/>
      <c r="AD228" s="517"/>
    </row>
    <row r="229" spans="3:30">
      <c r="C229" s="517"/>
      <c r="D229" s="517"/>
      <c r="E229" s="517"/>
      <c r="F229" s="517"/>
      <c r="G229" s="517"/>
      <c r="H229" s="517"/>
      <c r="I229" s="517"/>
      <c r="J229" s="517"/>
      <c r="K229" s="517"/>
      <c r="L229" s="517"/>
      <c r="M229" s="517"/>
      <c r="N229" s="517"/>
      <c r="O229" s="517"/>
      <c r="P229" s="517"/>
      <c r="Q229" s="517"/>
      <c r="R229" s="517"/>
      <c r="S229" s="517"/>
      <c r="T229" s="517"/>
      <c r="U229" s="517"/>
      <c r="V229" s="517"/>
      <c r="W229" s="517"/>
      <c r="X229" s="517"/>
      <c r="Y229" s="517"/>
      <c r="Z229" s="517"/>
      <c r="AA229" s="517"/>
      <c r="AB229" s="517"/>
      <c r="AC229" s="517"/>
      <c r="AD229" s="517"/>
    </row>
    <row r="230" spans="3:30">
      <c r="C230" s="517"/>
      <c r="D230" s="517"/>
      <c r="E230" s="517"/>
      <c r="F230" s="517"/>
      <c r="G230" s="517"/>
      <c r="H230" s="517"/>
      <c r="I230" s="517"/>
      <c r="J230" s="517"/>
      <c r="K230" s="517"/>
      <c r="L230" s="517"/>
      <c r="M230" s="517"/>
      <c r="N230" s="517"/>
      <c r="O230" s="517"/>
      <c r="P230" s="517"/>
      <c r="Q230" s="517"/>
      <c r="R230" s="517"/>
      <c r="S230" s="517"/>
      <c r="T230" s="517"/>
      <c r="U230" s="517"/>
      <c r="V230" s="517"/>
      <c r="W230" s="517"/>
      <c r="X230" s="517"/>
      <c r="Y230" s="517"/>
      <c r="Z230" s="517"/>
      <c r="AA230" s="517"/>
      <c r="AB230" s="517"/>
      <c r="AC230" s="517"/>
      <c r="AD230" s="517"/>
    </row>
    <row r="231" spans="3:30">
      <c r="C231" s="517"/>
      <c r="D231" s="517"/>
      <c r="E231" s="517"/>
      <c r="F231" s="517"/>
      <c r="G231" s="517"/>
      <c r="H231" s="517"/>
      <c r="I231" s="517"/>
      <c r="J231" s="517"/>
      <c r="K231" s="517"/>
      <c r="L231" s="517"/>
      <c r="M231" s="517"/>
      <c r="N231" s="517"/>
      <c r="O231" s="517"/>
      <c r="P231" s="517"/>
      <c r="Q231" s="517"/>
      <c r="R231" s="517"/>
      <c r="S231" s="517"/>
      <c r="T231" s="517"/>
      <c r="U231" s="517"/>
      <c r="V231" s="517"/>
      <c r="W231" s="517"/>
      <c r="X231" s="517"/>
      <c r="Y231" s="517"/>
      <c r="Z231" s="517"/>
      <c r="AA231" s="517"/>
      <c r="AB231" s="517"/>
      <c r="AC231" s="517"/>
      <c r="AD231" s="517"/>
    </row>
    <row r="232" spans="3:30">
      <c r="C232" s="517"/>
      <c r="D232" s="517"/>
      <c r="E232" s="517"/>
      <c r="F232" s="517"/>
      <c r="G232" s="517"/>
      <c r="H232" s="517"/>
      <c r="I232" s="517"/>
      <c r="J232" s="517"/>
      <c r="K232" s="517"/>
      <c r="L232" s="517"/>
      <c r="M232" s="517"/>
      <c r="N232" s="517"/>
      <c r="O232" s="517"/>
      <c r="P232" s="517"/>
      <c r="Q232" s="517"/>
      <c r="R232" s="517"/>
      <c r="S232" s="517"/>
      <c r="T232" s="517"/>
      <c r="U232" s="517"/>
      <c r="V232" s="517"/>
      <c r="W232" s="517"/>
      <c r="X232" s="517"/>
      <c r="Y232" s="517"/>
      <c r="Z232" s="517"/>
      <c r="AA232" s="517"/>
      <c r="AB232" s="517"/>
      <c r="AC232" s="517"/>
      <c r="AD232" s="517"/>
    </row>
    <row r="233" spans="3:30">
      <c r="C233" s="517"/>
      <c r="D233" s="517"/>
      <c r="E233" s="517"/>
      <c r="F233" s="517"/>
      <c r="G233" s="517"/>
      <c r="H233" s="517"/>
      <c r="I233" s="517"/>
      <c r="J233" s="517"/>
      <c r="K233" s="517"/>
      <c r="L233" s="517"/>
      <c r="M233" s="517"/>
      <c r="N233" s="517"/>
      <c r="O233" s="517"/>
      <c r="P233" s="517"/>
      <c r="Q233" s="517"/>
      <c r="R233" s="517"/>
      <c r="S233" s="517"/>
      <c r="T233" s="517"/>
      <c r="U233" s="517"/>
      <c r="V233" s="517"/>
      <c r="W233" s="517"/>
      <c r="X233" s="517"/>
      <c r="Y233" s="517"/>
      <c r="Z233" s="517"/>
      <c r="AA233" s="517"/>
      <c r="AB233" s="517"/>
      <c r="AC233" s="517"/>
      <c r="AD233" s="517"/>
    </row>
    <row r="234" spans="3:30">
      <c r="C234" s="517"/>
      <c r="D234" s="517"/>
      <c r="E234" s="517"/>
      <c r="F234" s="517"/>
      <c r="G234" s="517"/>
      <c r="H234" s="517"/>
      <c r="I234" s="517"/>
      <c r="J234" s="517"/>
      <c r="K234" s="517"/>
      <c r="L234" s="517"/>
      <c r="M234" s="517"/>
      <c r="N234" s="517"/>
      <c r="O234" s="517"/>
      <c r="P234" s="517"/>
      <c r="Q234" s="517"/>
      <c r="R234" s="517"/>
      <c r="S234" s="517"/>
      <c r="T234" s="517"/>
      <c r="U234" s="517"/>
      <c r="V234" s="517"/>
      <c r="W234" s="517"/>
      <c r="X234" s="517"/>
      <c r="Y234" s="517"/>
      <c r="Z234" s="517"/>
      <c r="AA234" s="517"/>
      <c r="AB234" s="517"/>
      <c r="AC234" s="517"/>
      <c r="AD234" s="517"/>
    </row>
    <row r="235" spans="3:30">
      <c r="C235" s="517"/>
      <c r="D235" s="517"/>
      <c r="E235" s="517"/>
      <c r="F235" s="517"/>
      <c r="G235" s="517"/>
      <c r="H235" s="517"/>
      <c r="I235" s="517"/>
      <c r="J235" s="517"/>
      <c r="K235" s="517"/>
      <c r="L235" s="517"/>
      <c r="M235" s="517"/>
      <c r="N235" s="517"/>
      <c r="O235" s="517"/>
      <c r="P235" s="517"/>
      <c r="Q235" s="517"/>
      <c r="R235" s="517"/>
      <c r="S235" s="517"/>
      <c r="T235" s="517"/>
      <c r="U235" s="517"/>
      <c r="V235" s="517"/>
      <c r="W235" s="517"/>
      <c r="X235" s="517"/>
      <c r="Y235" s="517"/>
      <c r="Z235" s="517"/>
      <c r="AA235" s="517"/>
      <c r="AB235" s="517"/>
      <c r="AC235" s="517"/>
      <c r="AD235" s="517"/>
    </row>
    <row r="236" spans="3:30">
      <c r="C236" s="517"/>
      <c r="D236" s="517"/>
      <c r="E236" s="517"/>
      <c r="F236" s="517"/>
      <c r="G236" s="517"/>
      <c r="H236" s="517"/>
      <c r="I236" s="517"/>
      <c r="J236" s="517"/>
      <c r="K236" s="517"/>
      <c r="L236" s="517"/>
      <c r="M236" s="517"/>
      <c r="N236" s="517"/>
      <c r="O236" s="517"/>
      <c r="P236" s="517"/>
      <c r="Q236" s="517"/>
      <c r="R236" s="517"/>
      <c r="S236" s="517"/>
      <c r="T236" s="517"/>
      <c r="U236" s="517"/>
      <c r="V236" s="517"/>
      <c r="W236" s="517"/>
      <c r="X236" s="517"/>
      <c r="Y236" s="517"/>
      <c r="Z236" s="517"/>
      <c r="AA236" s="517"/>
      <c r="AB236" s="517"/>
      <c r="AC236" s="517"/>
      <c r="AD236" s="517"/>
    </row>
    <row r="237" spans="3:30">
      <c r="C237" s="517"/>
      <c r="D237" s="517"/>
      <c r="E237" s="517"/>
      <c r="F237" s="517"/>
      <c r="G237" s="517"/>
      <c r="H237" s="517"/>
      <c r="I237" s="517"/>
      <c r="J237" s="517"/>
      <c r="K237" s="517"/>
      <c r="L237" s="517"/>
      <c r="M237" s="517"/>
      <c r="N237" s="517"/>
      <c r="O237" s="517"/>
      <c r="P237" s="517"/>
      <c r="Q237" s="517"/>
      <c r="R237" s="517"/>
      <c r="S237" s="517"/>
      <c r="T237" s="517"/>
      <c r="U237" s="517"/>
      <c r="V237" s="517"/>
      <c r="W237" s="517"/>
      <c r="X237" s="517"/>
      <c r="Y237" s="517"/>
      <c r="Z237" s="517"/>
      <c r="AA237" s="517"/>
      <c r="AB237" s="517"/>
      <c r="AC237" s="517"/>
      <c r="AD237" s="517"/>
    </row>
    <row r="238" spans="3:30">
      <c r="C238" s="517"/>
      <c r="D238" s="517"/>
      <c r="E238" s="517"/>
      <c r="F238" s="517"/>
      <c r="G238" s="517"/>
      <c r="H238" s="517"/>
      <c r="I238" s="517"/>
      <c r="J238" s="517"/>
      <c r="K238" s="517"/>
      <c r="L238" s="517"/>
      <c r="M238" s="517"/>
      <c r="N238" s="517"/>
      <c r="O238" s="517"/>
      <c r="P238" s="517"/>
      <c r="Q238" s="517"/>
      <c r="R238" s="517"/>
      <c r="S238" s="517"/>
      <c r="T238" s="517"/>
      <c r="U238" s="517"/>
      <c r="V238" s="517"/>
      <c r="W238" s="517"/>
      <c r="X238" s="517"/>
      <c r="Y238" s="517"/>
      <c r="Z238" s="517"/>
      <c r="AA238" s="517"/>
      <c r="AB238" s="517"/>
      <c r="AC238" s="517"/>
      <c r="AD238" s="517"/>
    </row>
    <row r="239" spans="3:30">
      <c r="C239" s="517"/>
      <c r="D239" s="517"/>
      <c r="E239" s="517"/>
      <c r="F239" s="517"/>
      <c r="G239" s="517"/>
      <c r="H239" s="517"/>
      <c r="I239" s="517"/>
      <c r="J239" s="517"/>
      <c r="K239" s="517"/>
      <c r="L239" s="517"/>
      <c r="M239" s="517"/>
      <c r="N239" s="517"/>
      <c r="O239" s="517"/>
      <c r="P239" s="517"/>
      <c r="Q239" s="517"/>
      <c r="R239" s="517"/>
      <c r="S239" s="517"/>
      <c r="T239" s="517"/>
      <c r="U239" s="517"/>
      <c r="V239" s="517"/>
      <c r="W239" s="517"/>
      <c r="X239" s="517"/>
      <c r="Y239" s="517"/>
      <c r="Z239" s="517"/>
      <c r="AA239" s="517"/>
      <c r="AB239" s="517"/>
      <c r="AC239" s="517"/>
      <c r="AD239" s="517"/>
    </row>
    <row r="240" spans="3:30">
      <c r="C240" s="517"/>
      <c r="D240" s="517"/>
      <c r="E240" s="517"/>
      <c r="F240" s="517"/>
      <c r="G240" s="517"/>
      <c r="H240" s="517"/>
      <c r="I240" s="517"/>
      <c r="J240" s="517"/>
      <c r="K240" s="517"/>
      <c r="L240" s="517"/>
      <c r="M240" s="517"/>
      <c r="N240" s="517"/>
      <c r="O240" s="517"/>
      <c r="P240" s="517"/>
      <c r="Q240" s="517"/>
      <c r="R240" s="517"/>
      <c r="S240" s="517"/>
      <c r="T240" s="517"/>
      <c r="U240" s="517"/>
      <c r="V240" s="517"/>
      <c r="W240" s="517"/>
      <c r="X240" s="517"/>
      <c r="Y240" s="517"/>
      <c r="Z240" s="517"/>
      <c r="AA240" s="517"/>
      <c r="AB240" s="517"/>
      <c r="AC240" s="517"/>
      <c r="AD240" s="517"/>
    </row>
    <row r="241" spans="3:30">
      <c r="C241" s="517"/>
      <c r="D241" s="517"/>
      <c r="E241" s="517"/>
      <c r="F241" s="517"/>
      <c r="G241" s="517"/>
      <c r="H241" s="517"/>
      <c r="I241" s="517"/>
      <c r="J241" s="517"/>
      <c r="K241" s="517"/>
      <c r="L241" s="517"/>
      <c r="M241" s="517"/>
      <c r="N241" s="517"/>
      <c r="O241" s="517"/>
      <c r="P241" s="517"/>
      <c r="Q241" s="517"/>
      <c r="R241" s="517"/>
      <c r="S241" s="517"/>
      <c r="T241" s="517"/>
      <c r="U241" s="517"/>
      <c r="V241" s="517"/>
      <c r="W241" s="517"/>
      <c r="X241" s="517"/>
      <c r="Y241" s="517"/>
      <c r="Z241" s="517"/>
      <c r="AA241" s="517"/>
      <c r="AB241" s="517"/>
      <c r="AC241" s="517"/>
      <c r="AD241" s="517"/>
    </row>
    <row r="242" spans="3:30">
      <c r="C242" s="517"/>
      <c r="D242" s="517"/>
      <c r="E242" s="517"/>
      <c r="F242" s="517"/>
      <c r="G242" s="517"/>
      <c r="H242" s="517"/>
      <c r="I242" s="517"/>
      <c r="J242" s="517"/>
      <c r="K242" s="517"/>
      <c r="L242" s="517"/>
      <c r="M242" s="517"/>
      <c r="N242" s="517"/>
      <c r="O242" s="517"/>
      <c r="P242" s="517"/>
      <c r="Q242" s="517"/>
      <c r="R242" s="517"/>
      <c r="S242" s="517"/>
      <c r="T242" s="517"/>
      <c r="U242" s="517"/>
      <c r="V242" s="517"/>
      <c r="W242" s="517"/>
      <c r="X242" s="517"/>
      <c r="Y242" s="517"/>
      <c r="Z242" s="517"/>
      <c r="AA242" s="517"/>
      <c r="AB242" s="517"/>
      <c r="AC242" s="517"/>
      <c r="AD242" s="517"/>
    </row>
    <row r="243" spans="3:30">
      <c r="C243" s="517"/>
      <c r="D243" s="517"/>
      <c r="E243" s="517"/>
      <c r="F243" s="517"/>
      <c r="G243" s="517"/>
      <c r="H243" s="517"/>
      <c r="I243" s="517"/>
      <c r="J243" s="517"/>
      <c r="K243" s="517"/>
      <c r="L243" s="517"/>
      <c r="M243" s="517"/>
      <c r="N243" s="517"/>
      <c r="O243" s="517"/>
      <c r="P243" s="517"/>
      <c r="Q243" s="517"/>
      <c r="R243" s="517"/>
      <c r="S243" s="517"/>
      <c r="T243" s="517"/>
      <c r="U243" s="517"/>
      <c r="V243" s="517"/>
      <c r="W243" s="517"/>
      <c r="X243" s="517"/>
      <c r="Y243" s="517"/>
      <c r="Z243" s="517"/>
      <c r="AA243" s="517"/>
      <c r="AB243" s="517"/>
      <c r="AC243" s="517"/>
      <c r="AD243" s="517"/>
    </row>
    <row r="244" spans="3:30">
      <c r="C244" s="517"/>
      <c r="D244" s="517"/>
      <c r="E244" s="517"/>
      <c r="F244" s="517"/>
      <c r="G244" s="517"/>
      <c r="H244" s="517"/>
      <c r="I244" s="517"/>
      <c r="J244" s="517"/>
      <c r="K244" s="517"/>
      <c r="L244" s="517"/>
      <c r="M244" s="517"/>
      <c r="N244" s="517"/>
      <c r="O244" s="517"/>
      <c r="P244" s="517"/>
      <c r="Q244" s="517"/>
      <c r="R244" s="517"/>
      <c r="S244" s="517"/>
      <c r="T244" s="517"/>
      <c r="U244" s="517"/>
      <c r="V244" s="517"/>
      <c r="W244" s="517"/>
      <c r="X244" s="517"/>
      <c r="Y244" s="517"/>
      <c r="Z244" s="517"/>
      <c r="AA244" s="517"/>
      <c r="AB244" s="517"/>
      <c r="AC244" s="517"/>
      <c r="AD244" s="517"/>
    </row>
    <row r="245" spans="3:30">
      <c r="C245" s="517"/>
      <c r="D245" s="517"/>
      <c r="E245" s="517"/>
      <c r="F245" s="517"/>
      <c r="G245" s="517"/>
      <c r="H245" s="517"/>
      <c r="I245" s="517"/>
      <c r="J245" s="517"/>
      <c r="K245" s="517"/>
      <c r="L245" s="517"/>
      <c r="M245" s="517"/>
      <c r="N245" s="517"/>
      <c r="O245" s="517"/>
      <c r="P245" s="517"/>
      <c r="Q245" s="517"/>
      <c r="R245" s="517"/>
      <c r="S245" s="517"/>
      <c r="T245" s="517"/>
      <c r="U245" s="517"/>
      <c r="V245" s="517"/>
      <c r="W245" s="517"/>
      <c r="X245" s="517"/>
      <c r="Y245" s="517"/>
      <c r="Z245" s="517"/>
      <c r="AA245" s="517"/>
      <c r="AB245" s="517"/>
      <c r="AC245" s="517"/>
      <c r="AD245" s="517"/>
    </row>
    <row r="246" spans="3:30">
      <c r="C246" s="517"/>
      <c r="D246" s="517"/>
      <c r="E246" s="517"/>
      <c r="F246" s="517"/>
      <c r="G246" s="517"/>
      <c r="H246" s="517"/>
      <c r="I246" s="517"/>
      <c r="J246" s="517"/>
      <c r="K246" s="517"/>
      <c r="L246" s="517"/>
      <c r="M246" s="517"/>
      <c r="N246" s="517"/>
      <c r="O246" s="517"/>
      <c r="P246" s="517"/>
      <c r="Q246" s="517"/>
      <c r="R246" s="517"/>
      <c r="S246" s="517"/>
      <c r="T246" s="517"/>
      <c r="U246" s="517"/>
      <c r="V246" s="517"/>
      <c r="W246" s="517"/>
      <c r="X246" s="517"/>
      <c r="Y246" s="517"/>
      <c r="Z246" s="517"/>
      <c r="AA246" s="517"/>
      <c r="AB246" s="517"/>
      <c r="AC246" s="517"/>
      <c r="AD246" s="517"/>
    </row>
    <row r="247" spans="3:30">
      <c r="C247" s="517"/>
      <c r="D247" s="517"/>
      <c r="E247" s="517"/>
      <c r="F247" s="517"/>
      <c r="G247" s="517"/>
      <c r="H247" s="517"/>
      <c r="I247" s="517"/>
      <c r="J247" s="517"/>
      <c r="K247" s="517"/>
      <c r="L247" s="517"/>
      <c r="M247" s="517"/>
      <c r="N247" s="517"/>
      <c r="O247" s="517"/>
      <c r="P247" s="517"/>
      <c r="Q247" s="517"/>
      <c r="R247" s="517"/>
      <c r="S247" s="517"/>
      <c r="T247" s="517"/>
      <c r="U247" s="517"/>
      <c r="V247" s="517"/>
      <c r="W247" s="517"/>
      <c r="X247" s="517"/>
      <c r="Y247" s="517"/>
      <c r="Z247" s="517"/>
      <c r="AA247" s="517"/>
      <c r="AB247" s="517"/>
      <c r="AC247" s="517"/>
      <c r="AD247" s="517"/>
    </row>
    <row r="248" spans="3:30">
      <c r="C248" s="517"/>
      <c r="D248" s="517"/>
      <c r="E248" s="517"/>
      <c r="F248" s="517"/>
      <c r="G248" s="517"/>
      <c r="H248" s="517"/>
      <c r="I248" s="517"/>
      <c r="J248" s="517"/>
      <c r="K248" s="517"/>
      <c r="L248" s="517"/>
      <c r="M248" s="517"/>
      <c r="N248" s="517"/>
      <c r="O248" s="517"/>
      <c r="P248" s="517"/>
      <c r="Q248" s="517"/>
      <c r="R248" s="517"/>
      <c r="S248" s="517"/>
      <c r="T248" s="517"/>
      <c r="U248" s="517"/>
      <c r="V248" s="517"/>
      <c r="W248" s="517"/>
      <c r="X248" s="517"/>
      <c r="Y248" s="517"/>
      <c r="Z248" s="517"/>
      <c r="AA248" s="517"/>
      <c r="AB248" s="517"/>
      <c r="AC248" s="517"/>
      <c r="AD248" s="517"/>
    </row>
    <row r="249" spans="3:30">
      <c r="C249" s="517"/>
      <c r="D249" s="517"/>
      <c r="E249" s="517"/>
      <c r="F249" s="517"/>
      <c r="G249" s="517"/>
      <c r="H249" s="517"/>
      <c r="I249" s="517"/>
      <c r="J249" s="517"/>
      <c r="K249" s="517"/>
      <c r="L249" s="517"/>
      <c r="M249" s="517"/>
      <c r="N249" s="517"/>
      <c r="O249" s="517"/>
      <c r="P249" s="517"/>
      <c r="Q249" s="517"/>
      <c r="R249" s="517"/>
      <c r="S249" s="517"/>
      <c r="T249" s="517"/>
      <c r="U249" s="517"/>
      <c r="V249" s="517"/>
      <c r="W249" s="517"/>
      <c r="X249" s="517"/>
      <c r="Y249" s="517"/>
      <c r="Z249" s="517"/>
      <c r="AA249" s="517"/>
      <c r="AB249" s="517"/>
      <c r="AC249" s="517"/>
      <c r="AD249" s="517"/>
    </row>
    <row r="250" spans="3:30">
      <c r="C250" s="517"/>
      <c r="D250" s="517"/>
      <c r="E250" s="517"/>
      <c r="F250" s="517"/>
      <c r="G250" s="517"/>
      <c r="H250" s="517"/>
      <c r="I250" s="517"/>
      <c r="J250" s="517"/>
      <c r="K250" s="517"/>
      <c r="L250" s="517"/>
      <c r="M250" s="517"/>
      <c r="N250" s="517"/>
      <c r="O250" s="517"/>
      <c r="P250" s="517"/>
      <c r="Q250" s="517"/>
      <c r="R250" s="517"/>
      <c r="S250" s="517"/>
      <c r="T250" s="517"/>
      <c r="U250" s="517"/>
      <c r="V250" s="517"/>
      <c r="W250" s="517"/>
      <c r="X250" s="517"/>
      <c r="Y250" s="517"/>
      <c r="Z250" s="517"/>
      <c r="AA250" s="517"/>
      <c r="AB250" s="517"/>
      <c r="AC250" s="517"/>
      <c r="AD250" s="517"/>
    </row>
    <row r="251" spans="3:30">
      <c r="C251" s="517"/>
      <c r="D251" s="517"/>
      <c r="E251" s="517"/>
      <c r="F251" s="517"/>
      <c r="G251" s="517"/>
      <c r="H251" s="517"/>
      <c r="I251" s="517"/>
      <c r="J251" s="517"/>
      <c r="K251" s="517"/>
      <c r="L251" s="517"/>
      <c r="M251" s="517"/>
      <c r="N251" s="517"/>
      <c r="O251" s="517"/>
      <c r="P251" s="517"/>
      <c r="Q251" s="517"/>
      <c r="R251" s="517"/>
      <c r="S251" s="517"/>
      <c r="T251" s="517"/>
      <c r="U251" s="517"/>
      <c r="V251" s="517"/>
      <c r="W251" s="517"/>
      <c r="X251" s="517"/>
      <c r="Y251" s="517"/>
      <c r="Z251" s="517"/>
      <c r="AA251" s="517"/>
      <c r="AB251" s="517"/>
      <c r="AC251" s="517"/>
      <c r="AD251" s="517"/>
    </row>
    <row r="252" spans="3:30">
      <c r="C252" s="517"/>
      <c r="D252" s="517"/>
      <c r="E252" s="517"/>
      <c r="F252" s="517"/>
      <c r="G252" s="517"/>
      <c r="H252" s="517"/>
      <c r="I252" s="517"/>
      <c r="J252" s="517"/>
      <c r="K252" s="517"/>
      <c r="L252" s="517"/>
      <c r="M252" s="517"/>
      <c r="N252" s="517"/>
      <c r="O252" s="517"/>
      <c r="P252" s="517"/>
      <c r="Q252" s="517"/>
      <c r="R252" s="517"/>
      <c r="S252" s="517"/>
      <c r="T252" s="517"/>
      <c r="U252" s="517"/>
      <c r="V252" s="517"/>
      <c r="W252" s="517"/>
      <c r="X252" s="517"/>
      <c r="Y252" s="517"/>
      <c r="Z252" s="517"/>
      <c r="AA252" s="517"/>
      <c r="AB252" s="517"/>
      <c r="AC252" s="517"/>
      <c r="AD252" s="517"/>
    </row>
    <row r="253" spans="3:30">
      <c r="C253" s="517"/>
      <c r="D253" s="517"/>
      <c r="E253" s="517"/>
      <c r="F253" s="517"/>
      <c r="G253" s="517"/>
      <c r="H253" s="517"/>
      <c r="I253" s="517"/>
      <c r="J253" s="517"/>
      <c r="K253" s="517"/>
      <c r="L253" s="517"/>
      <c r="M253" s="517"/>
      <c r="N253" s="517"/>
      <c r="O253" s="517"/>
      <c r="P253" s="517"/>
      <c r="Q253" s="517"/>
      <c r="R253" s="517"/>
      <c r="S253" s="517"/>
      <c r="T253" s="517"/>
      <c r="U253" s="517"/>
      <c r="V253" s="517"/>
      <c r="W253" s="517"/>
      <c r="X253" s="517"/>
      <c r="Y253" s="517"/>
      <c r="Z253" s="517"/>
      <c r="AA253" s="517"/>
      <c r="AB253" s="517"/>
      <c r="AC253" s="517"/>
      <c r="AD253" s="517"/>
    </row>
    <row r="254" spans="3:30">
      <c r="C254" s="517"/>
      <c r="D254" s="517"/>
      <c r="E254" s="517"/>
      <c r="F254" s="517"/>
      <c r="G254" s="517"/>
      <c r="H254" s="517"/>
      <c r="I254" s="517"/>
      <c r="J254" s="517"/>
      <c r="K254" s="517"/>
      <c r="L254" s="517"/>
      <c r="M254" s="517"/>
      <c r="N254" s="517"/>
      <c r="O254" s="517"/>
      <c r="P254" s="517"/>
      <c r="Q254" s="517"/>
      <c r="R254" s="517"/>
      <c r="S254" s="517"/>
      <c r="T254" s="517"/>
      <c r="U254" s="517"/>
      <c r="V254" s="517"/>
      <c r="W254" s="517"/>
      <c r="X254" s="517"/>
      <c r="Y254" s="517"/>
      <c r="Z254" s="517"/>
      <c r="AA254" s="517"/>
      <c r="AB254" s="517"/>
      <c r="AC254" s="517"/>
      <c r="AD254" s="517"/>
    </row>
    <row r="255" spans="3:30">
      <c r="C255" s="517"/>
      <c r="D255" s="517"/>
      <c r="E255" s="517"/>
      <c r="F255" s="517"/>
      <c r="G255" s="517"/>
      <c r="H255" s="517"/>
      <c r="I255" s="517"/>
      <c r="J255" s="517"/>
      <c r="K255" s="517"/>
      <c r="L255" s="517"/>
      <c r="M255" s="517"/>
      <c r="N255" s="517"/>
      <c r="O255" s="517"/>
      <c r="P255" s="517"/>
      <c r="Q255" s="517"/>
      <c r="R255" s="517"/>
      <c r="S255" s="517"/>
      <c r="T255" s="517"/>
      <c r="U255" s="517"/>
      <c r="V255" s="517"/>
      <c r="W255" s="517"/>
      <c r="X255" s="517"/>
      <c r="Y255" s="517"/>
      <c r="Z255" s="517"/>
      <c r="AA255" s="517"/>
      <c r="AB255" s="517"/>
      <c r="AC255" s="517"/>
      <c r="AD255" s="517"/>
    </row>
    <row r="256" spans="3:30">
      <c r="C256" s="517"/>
      <c r="D256" s="517"/>
      <c r="E256" s="517"/>
      <c r="F256" s="517"/>
      <c r="G256" s="517"/>
      <c r="H256" s="517"/>
      <c r="I256" s="517"/>
      <c r="J256" s="517"/>
      <c r="K256" s="517"/>
      <c r="L256" s="517"/>
      <c r="M256" s="517"/>
      <c r="N256" s="517"/>
      <c r="O256" s="517"/>
      <c r="P256" s="517"/>
      <c r="Q256" s="517"/>
      <c r="R256" s="517"/>
      <c r="S256" s="517"/>
      <c r="T256" s="517"/>
      <c r="U256" s="517"/>
      <c r="V256" s="517"/>
      <c r="W256" s="517"/>
      <c r="X256" s="517"/>
      <c r="Y256" s="517"/>
      <c r="Z256" s="517"/>
      <c r="AA256" s="517"/>
      <c r="AB256" s="517"/>
      <c r="AC256" s="517"/>
      <c r="AD256" s="517"/>
    </row>
    <row r="257" spans="3:30">
      <c r="C257" s="517"/>
      <c r="D257" s="517"/>
      <c r="E257" s="517"/>
      <c r="F257" s="517"/>
      <c r="G257" s="517"/>
      <c r="H257" s="517"/>
      <c r="I257" s="517"/>
      <c r="J257" s="517"/>
      <c r="K257" s="517"/>
      <c r="L257" s="517"/>
      <c r="M257" s="517"/>
      <c r="N257" s="517"/>
      <c r="O257" s="517"/>
      <c r="P257" s="517"/>
      <c r="Q257" s="517"/>
      <c r="R257" s="517"/>
      <c r="S257" s="517"/>
      <c r="T257" s="517"/>
      <c r="U257" s="517"/>
      <c r="V257" s="517"/>
      <c r="W257" s="517"/>
      <c r="X257" s="517"/>
      <c r="Y257" s="517"/>
      <c r="Z257" s="517"/>
      <c r="AA257" s="517"/>
      <c r="AB257" s="517"/>
      <c r="AC257" s="517"/>
      <c r="AD257" s="517"/>
    </row>
    <row r="258" spans="3:30">
      <c r="C258" s="517"/>
      <c r="D258" s="517"/>
      <c r="E258" s="517"/>
      <c r="F258" s="517"/>
      <c r="G258" s="517"/>
      <c r="H258" s="517"/>
      <c r="I258" s="517"/>
      <c r="J258" s="517"/>
      <c r="K258" s="517"/>
      <c r="L258" s="517"/>
      <c r="M258" s="517"/>
      <c r="N258" s="517"/>
      <c r="O258" s="517"/>
      <c r="P258" s="517"/>
      <c r="Q258" s="517"/>
      <c r="R258" s="517"/>
      <c r="S258" s="517"/>
      <c r="T258" s="517"/>
      <c r="U258" s="517"/>
      <c r="V258" s="517"/>
      <c r="W258" s="517"/>
      <c r="X258" s="517"/>
      <c r="Y258" s="517"/>
      <c r="Z258" s="517"/>
      <c r="AA258" s="517"/>
      <c r="AB258" s="517"/>
      <c r="AC258" s="517"/>
      <c r="AD258" s="517"/>
    </row>
    <row r="259" spans="3:30">
      <c r="C259" s="517"/>
      <c r="D259" s="517"/>
      <c r="E259" s="517"/>
      <c r="F259" s="517"/>
      <c r="G259" s="517"/>
      <c r="H259" s="517"/>
      <c r="I259" s="517"/>
      <c r="J259" s="517"/>
      <c r="K259" s="517"/>
      <c r="L259" s="517"/>
      <c r="M259" s="517"/>
      <c r="N259" s="517"/>
      <c r="O259" s="517"/>
      <c r="P259" s="517"/>
      <c r="Q259" s="517"/>
      <c r="R259" s="517"/>
      <c r="S259" s="517"/>
      <c r="T259" s="517"/>
      <c r="U259" s="517"/>
      <c r="V259" s="517"/>
      <c r="W259" s="517"/>
      <c r="X259" s="517"/>
      <c r="Y259" s="517"/>
      <c r="Z259" s="517"/>
      <c r="AA259" s="517"/>
      <c r="AB259" s="517"/>
      <c r="AC259" s="517"/>
      <c r="AD259" s="517"/>
    </row>
    <row r="260" spans="3:30">
      <c r="C260" s="517"/>
      <c r="D260" s="517"/>
      <c r="E260" s="517"/>
      <c r="F260" s="517"/>
      <c r="G260" s="517"/>
      <c r="H260" s="517"/>
      <c r="I260" s="517"/>
      <c r="J260" s="517"/>
      <c r="K260" s="517"/>
      <c r="L260" s="517"/>
      <c r="M260" s="517"/>
      <c r="N260" s="517"/>
      <c r="O260" s="517"/>
      <c r="P260" s="517"/>
      <c r="Q260" s="517"/>
      <c r="R260" s="517"/>
      <c r="S260" s="517"/>
      <c r="T260" s="517"/>
      <c r="U260" s="517"/>
      <c r="V260" s="517"/>
      <c r="W260" s="517"/>
      <c r="X260" s="517"/>
      <c r="Y260" s="517"/>
      <c r="Z260" s="517"/>
      <c r="AA260" s="517"/>
      <c r="AB260" s="517"/>
      <c r="AC260" s="517"/>
      <c r="AD260" s="517"/>
    </row>
    <row r="261" spans="3:30">
      <c r="C261" s="517"/>
      <c r="D261" s="517"/>
      <c r="E261" s="517"/>
      <c r="F261" s="517"/>
      <c r="G261" s="517"/>
      <c r="H261" s="517"/>
      <c r="I261" s="517"/>
      <c r="J261" s="517"/>
      <c r="K261" s="517"/>
      <c r="L261" s="517"/>
      <c r="M261" s="517"/>
      <c r="N261" s="517"/>
      <c r="O261" s="517"/>
      <c r="P261" s="517"/>
      <c r="Q261" s="517"/>
      <c r="R261" s="517"/>
      <c r="S261" s="517"/>
      <c r="T261" s="517"/>
      <c r="U261" s="517"/>
      <c r="V261" s="517"/>
      <c r="W261" s="517"/>
      <c r="X261" s="517"/>
      <c r="Y261" s="517"/>
      <c r="Z261" s="517"/>
      <c r="AA261" s="517"/>
      <c r="AB261" s="517"/>
      <c r="AC261" s="517"/>
      <c r="AD261" s="517"/>
    </row>
    <row r="262" spans="3:30">
      <c r="C262" s="517"/>
      <c r="D262" s="517"/>
      <c r="E262" s="517"/>
      <c r="F262" s="517"/>
      <c r="G262" s="517"/>
      <c r="H262" s="517"/>
      <c r="I262" s="517"/>
      <c r="J262" s="517"/>
      <c r="K262" s="517"/>
      <c r="L262" s="517"/>
      <c r="M262" s="517"/>
      <c r="N262" s="517"/>
      <c r="O262" s="517"/>
      <c r="P262" s="517"/>
      <c r="Q262" s="517"/>
      <c r="R262" s="517"/>
      <c r="S262" s="517"/>
      <c r="T262" s="517"/>
      <c r="U262" s="517"/>
      <c r="V262" s="517"/>
      <c r="W262" s="517"/>
      <c r="X262" s="517"/>
      <c r="Y262" s="517"/>
      <c r="Z262" s="517"/>
      <c r="AA262" s="517"/>
      <c r="AB262" s="517"/>
      <c r="AC262" s="517"/>
      <c r="AD262" s="517"/>
    </row>
    <row r="263" spans="3:30">
      <c r="C263" s="517"/>
      <c r="D263" s="517"/>
      <c r="E263" s="517"/>
      <c r="F263" s="517"/>
      <c r="G263" s="517"/>
      <c r="H263" s="517"/>
      <c r="I263" s="517"/>
      <c r="J263" s="517"/>
      <c r="K263" s="517"/>
      <c r="L263" s="517"/>
      <c r="M263" s="517"/>
      <c r="N263" s="517"/>
      <c r="O263" s="517"/>
      <c r="P263" s="517"/>
      <c r="Q263" s="517"/>
      <c r="R263" s="517"/>
      <c r="S263" s="517"/>
      <c r="T263" s="517"/>
      <c r="U263" s="517"/>
      <c r="V263" s="517"/>
      <c r="W263" s="517"/>
      <c r="X263" s="517"/>
      <c r="Y263" s="517"/>
      <c r="Z263" s="517"/>
      <c r="AA263" s="517"/>
      <c r="AB263" s="517"/>
      <c r="AC263" s="517"/>
      <c r="AD263" s="517"/>
    </row>
    <row r="264" spans="3:30">
      <c r="C264" s="517"/>
      <c r="D264" s="517"/>
      <c r="E264" s="517"/>
      <c r="F264" s="517"/>
      <c r="G264" s="517"/>
      <c r="H264" s="517"/>
      <c r="I264" s="517"/>
      <c r="J264" s="517"/>
      <c r="K264" s="517"/>
      <c r="L264" s="517"/>
      <c r="M264" s="517"/>
      <c r="N264" s="517"/>
      <c r="O264" s="517"/>
      <c r="P264" s="517"/>
      <c r="Q264" s="517"/>
      <c r="R264" s="517"/>
      <c r="S264" s="517"/>
      <c r="T264" s="517"/>
      <c r="U264" s="517"/>
      <c r="V264" s="517"/>
      <c r="W264" s="517"/>
      <c r="X264" s="517"/>
      <c r="Y264" s="517"/>
      <c r="Z264" s="517"/>
      <c r="AA264" s="517"/>
      <c r="AB264" s="517"/>
      <c r="AC264" s="517"/>
      <c r="AD264" s="517"/>
    </row>
    <row r="265" spans="3:30">
      <c r="C265" s="517"/>
      <c r="D265" s="517"/>
      <c r="E265" s="517"/>
      <c r="F265" s="517"/>
      <c r="G265" s="517"/>
      <c r="H265" s="517"/>
      <c r="I265" s="517"/>
      <c r="J265" s="517"/>
      <c r="K265" s="517"/>
      <c r="L265" s="517"/>
      <c r="M265" s="517"/>
      <c r="N265" s="517"/>
      <c r="O265" s="517"/>
      <c r="P265" s="517"/>
      <c r="Q265" s="517"/>
      <c r="R265" s="517"/>
      <c r="S265" s="517"/>
      <c r="T265" s="517"/>
      <c r="U265" s="517"/>
      <c r="V265" s="517"/>
      <c r="W265" s="517"/>
      <c r="X265" s="517"/>
      <c r="Y265" s="517"/>
      <c r="Z265" s="517"/>
      <c r="AA265" s="517"/>
      <c r="AB265" s="517"/>
      <c r="AC265" s="517"/>
      <c r="AD265" s="517"/>
    </row>
    <row r="266" spans="3:30">
      <c r="C266" s="517"/>
      <c r="D266" s="517"/>
      <c r="E266" s="517"/>
      <c r="F266" s="517"/>
      <c r="G266" s="517"/>
      <c r="H266" s="517"/>
      <c r="I266" s="517"/>
      <c r="J266" s="517"/>
      <c r="K266" s="517"/>
      <c r="L266" s="517"/>
      <c r="M266" s="517"/>
      <c r="N266" s="517"/>
      <c r="O266" s="517"/>
      <c r="P266" s="517"/>
      <c r="Q266" s="517"/>
      <c r="R266" s="517"/>
      <c r="S266" s="517"/>
      <c r="T266" s="517"/>
      <c r="U266" s="517"/>
      <c r="V266" s="517"/>
      <c r="W266" s="517"/>
      <c r="X266" s="517"/>
      <c r="Y266" s="517"/>
      <c r="Z266" s="517"/>
      <c r="AA266" s="517"/>
      <c r="AB266" s="517"/>
      <c r="AC266" s="517"/>
      <c r="AD266" s="517"/>
    </row>
    <row r="267" spans="3:30">
      <c r="C267" s="517"/>
      <c r="D267" s="517"/>
      <c r="E267" s="517"/>
      <c r="F267" s="517"/>
      <c r="G267" s="517"/>
      <c r="H267" s="517"/>
      <c r="I267" s="517"/>
      <c r="J267" s="517"/>
      <c r="K267" s="517"/>
      <c r="L267" s="517"/>
      <c r="M267" s="517"/>
      <c r="N267" s="517"/>
      <c r="O267" s="517"/>
      <c r="P267" s="517"/>
      <c r="Q267" s="517"/>
      <c r="R267" s="517"/>
      <c r="S267" s="517"/>
      <c r="T267" s="517"/>
      <c r="U267" s="517"/>
      <c r="V267" s="517"/>
      <c r="W267" s="517"/>
      <c r="X267" s="517"/>
      <c r="Y267" s="517"/>
      <c r="Z267" s="517"/>
      <c r="AA267" s="517"/>
      <c r="AB267" s="517"/>
      <c r="AC267" s="517"/>
      <c r="AD267" s="517"/>
    </row>
    <row r="268" spans="3:30">
      <c r="C268" s="517"/>
      <c r="D268" s="517"/>
      <c r="E268" s="517"/>
      <c r="F268" s="517"/>
      <c r="G268" s="517"/>
      <c r="H268" s="517"/>
      <c r="I268" s="517"/>
      <c r="J268" s="517"/>
      <c r="K268" s="517"/>
      <c r="L268" s="517"/>
      <c r="M268" s="517"/>
      <c r="N268" s="517"/>
      <c r="O268" s="517"/>
      <c r="P268" s="517"/>
      <c r="Q268" s="517"/>
      <c r="R268" s="517"/>
      <c r="S268" s="517"/>
      <c r="T268" s="517"/>
      <c r="U268" s="517"/>
      <c r="V268" s="517"/>
      <c r="W268" s="517"/>
      <c r="X268" s="517"/>
      <c r="Y268" s="517"/>
      <c r="Z268" s="517"/>
      <c r="AA268" s="517"/>
      <c r="AB268" s="517"/>
      <c r="AC268" s="517"/>
      <c r="AD268" s="517"/>
    </row>
    <row r="269" spans="3:30">
      <c r="C269" s="517"/>
      <c r="D269" s="517"/>
      <c r="E269" s="517"/>
      <c r="F269" s="517"/>
      <c r="G269" s="517"/>
      <c r="H269" s="517"/>
      <c r="I269" s="517"/>
      <c r="J269" s="517"/>
      <c r="K269" s="517"/>
      <c r="L269" s="517"/>
      <c r="M269" s="517"/>
      <c r="N269" s="517"/>
      <c r="O269" s="517"/>
      <c r="P269" s="517"/>
      <c r="Q269" s="517"/>
      <c r="R269" s="517"/>
      <c r="S269" s="517"/>
      <c r="T269" s="517"/>
      <c r="U269" s="517"/>
      <c r="V269" s="517"/>
      <c r="W269" s="517"/>
      <c r="X269" s="517"/>
      <c r="Y269" s="517"/>
      <c r="Z269" s="517"/>
      <c r="AA269" s="517"/>
      <c r="AB269" s="517"/>
      <c r="AC269" s="517"/>
      <c r="AD269" s="517"/>
    </row>
    <row r="270" spans="3:30">
      <c r="C270" s="517"/>
      <c r="D270" s="517"/>
      <c r="E270" s="517"/>
      <c r="F270" s="517"/>
      <c r="G270" s="517"/>
      <c r="H270" s="517"/>
      <c r="I270" s="517"/>
      <c r="J270" s="517"/>
      <c r="K270" s="517"/>
      <c r="L270" s="517"/>
      <c r="M270" s="517"/>
      <c r="N270" s="517"/>
      <c r="O270" s="517"/>
      <c r="P270" s="517"/>
      <c r="Q270" s="517"/>
      <c r="R270" s="517"/>
      <c r="S270" s="517"/>
      <c r="T270" s="517"/>
      <c r="U270" s="517"/>
      <c r="V270" s="517"/>
      <c r="W270" s="517"/>
      <c r="X270" s="517"/>
      <c r="Y270" s="517"/>
      <c r="Z270" s="517"/>
      <c r="AA270" s="517"/>
      <c r="AB270" s="517"/>
      <c r="AC270" s="517"/>
      <c r="AD270" s="517"/>
    </row>
    <row r="271" spans="3:30">
      <c r="C271" s="517"/>
      <c r="D271" s="517"/>
      <c r="E271" s="517"/>
      <c r="F271" s="517"/>
      <c r="G271" s="517"/>
      <c r="H271" s="517"/>
      <c r="I271" s="517"/>
      <c r="J271" s="517"/>
      <c r="K271" s="517"/>
      <c r="L271" s="517"/>
      <c r="M271" s="517"/>
      <c r="N271" s="517"/>
      <c r="O271" s="517"/>
      <c r="P271" s="517"/>
      <c r="Q271" s="517"/>
      <c r="R271" s="517"/>
      <c r="S271" s="517"/>
      <c r="T271" s="517"/>
      <c r="U271" s="517"/>
      <c r="V271" s="517"/>
      <c r="W271" s="517"/>
      <c r="X271" s="517"/>
      <c r="Y271" s="517"/>
      <c r="Z271" s="517"/>
      <c r="AA271" s="517"/>
      <c r="AB271" s="517"/>
      <c r="AC271" s="517"/>
      <c r="AD271" s="517"/>
    </row>
    <row r="272" spans="3:30">
      <c r="C272" s="517"/>
      <c r="D272" s="517"/>
      <c r="E272" s="517"/>
      <c r="F272" s="517"/>
      <c r="G272" s="517"/>
      <c r="H272" s="517"/>
      <c r="I272" s="517"/>
      <c r="J272" s="517"/>
      <c r="K272" s="517"/>
      <c r="L272" s="517"/>
      <c r="M272" s="517"/>
      <c r="N272" s="517"/>
      <c r="O272" s="517"/>
      <c r="P272" s="517"/>
      <c r="Q272" s="517"/>
      <c r="R272" s="517"/>
      <c r="S272" s="517"/>
      <c r="T272" s="517"/>
      <c r="U272" s="517"/>
      <c r="V272" s="517"/>
      <c r="W272" s="517"/>
      <c r="X272" s="517"/>
      <c r="Y272" s="517"/>
      <c r="Z272" s="517"/>
      <c r="AA272" s="517"/>
      <c r="AB272" s="517"/>
      <c r="AC272" s="517"/>
      <c r="AD272" s="517"/>
    </row>
    <row r="273" spans="3:30">
      <c r="C273" s="517"/>
      <c r="D273" s="517"/>
      <c r="E273" s="517"/>
      <c r="F273" s="517"/>
      <c r="G273" s="517"/>
      <c r="H273" s="517"/>
      <c r="I273" s="517"/>
      <c r="J273" s="517"/>
      <c r="K273" s="517"/>
      <c r="L273" s="517"/>
      <c r="M273" s="517"/>
      <c r="N273" s="517"/>
      <c r="O273" s="517"/>
      <c r="P273" s="517"/>
      <c r="Q273" s="517"/>
      <c r="R273" s="517"/>
      <c r="S273" s="517"/>
      <c r="T273" s="517"/>
      <c r="U273" s="517"/>
      <c r="V273" s="517"/>
      <c r="W273" s="517"/>
      <c r="X273" s="517"/>
      <c r="Y273" s="517"/>
      <c r="Z273" s="517"/>
      <c r="AA273" s="517"/>
      <c r="AB273" s="517"/>
      <c r="AC273" s="517"/>
      <c r="AD273" s="517"/>
    </row>
    <row r="274" spans="3:30">
      <c r="C274" s="517"/>
      <c r="D274" s="517"/>
      <c r="E274" s="517"/>
      <c r="F274" s="517"/>
      <c r="G274" s="517"/>
      <c r="H274" s="517"/>
      <c r="I274" s="517"/>
      <c r="J274" s="517"/>
      <c r="K274" s="517"/>
      <c r="L274" s="517"/>
      <c r="M274" s="517"/>
      <c r="N274" s="517"/>
      <c r="O274" s="517"/>
      <c r="P274" s="517"/>
      <c r="Q274" s="517"/>
      <c r="R274" s="517"/>
      <c r="S274" s="517"/>
      <c r="T274" s="517"/>
      <c r="U274" s="517"/>
      <c r="V274" s="517"/>
      <c r="W274" s="517"/>
      <c r="X274" s="517"/>
      <c r="Y274" s="517"/>
      <c r="Z274" s="517"/>
      <c r="AA274" s="517"/>
      <c r="AB274" s="517"/>
      <c r="AC274" s="517"/>
      <c r="AD274" s="517"/>
    </row>
    <row r="275" spans="3:30">
      <c r="C275" s="517"/>
      <c r="D275" s="517"/>
      <c r="E275" s="517"/>
      <c r="F275" s="517"/>
      <c r="G275" s="517"/>
      <c r="H275" s="517"/>
      <c r="I275" s="517"/>
      <c r="J275" s="517"/>
      <c r="K275" s="517"/>
      <c r="L275" s="517"/>
      <c r="M275" s="517"/>
      <c r="N275" s="517"/>
      <c r="O275" s="517"/>
      <c r="P275" s="517"/>
      <c r="Q275" s="517"/>
      <c r="R275" s="517"/>
      <c r="S275" s="517"/>
      <c r="T275" s="517"/>
      <c r="U275" s="517"/>
      <c r="V275" s="517"/>
      <c r="W275" s="517"/>
      <c r="X275" s="517"/>
      <c r="Y275" s="517"/>
      <c r="Z275" s="517"/>
      <c r="AA275" s="517"/>
      <c r="AB275" s="517"/>
      <c r="AC275" s="517"/>
      <c r="AD275" s="517"/>
    </row>
    <row r="276" spans="3:30">
      <c r="C276" s="517"/>
      <c r="D276" s="517"/>
      <c r="E276" s="517"/>
      <c r="F276" s="517"/>
      <c r="G276" s="517"/>
      <c r="H276" s="517"/>
      <c r="I276" s="517"/>
      <c r="J276" s="517"/>
      <c r="K276" s="517"/>
      <c r="L276" s="517"/>
      <c r="M276" s="517"/>
      <c r="N276" s="517"/>
      <c r="O276" s="517"/>
      <c r="P276" s="517"/>
      <c r="Q276" s="517"/>
      <c r="R276" s="517"/>
      <c r="S276" s="517"/>
      <c r="T276" s="517"/>
      <c r="U276" s="517"/>
      <c r="V276" s="517"/>
      <c r="W276" s="517"/>
      <c r="X276" s="517"/>
      <c r="Y276" s="517"/>
      <c r="Z276" s="517"/>
      <c r="AA276" s="517"/>
      <c r="AB276" s="517"/>
      <c r="AC276" s="517"/>
      <c r="AD276" s="517"/>
    </row>
    <row r="277" spans="3:30">
      <c r="C277" s="517"/>
      <c r="D277" s="517"/>
      <c r="E277" s="517"/>
      <c r="F277" s="517"/>
      <c r="G277" s="517"/>
      <c r="H277" s="517"/>
      <c r="I277" s="517"/>
      <c r="J277" s="517"/>
      <c r="K277" s="517"/>
      <c r="L277" s="517"/>
      <c r="M277" s="517"/>
      <c r="N277" s="517"/>
      <c r="O277" s="517"/>
      <c r="P277" s="517"/>
      <c r="Q277" s="517"/>
      <c r="R277" s="517"/>
      <c r="S277" s="517"/>
      <c r="T277" s="517"/>
      <c r="U277" s="517"/>
      <c r="V277" s="517"/>
      <c r="W277" s="517"/>
      <c r="X277" s="517"/>
      <c r="Y277" s="517"/>
      <c r="Z277" s="517"/>
      <c r="AA277" s="517"/>
      <c r="AB277" s="517"/>
      <c r="AC277" s="517"/>
      <c r="AD277" s="517"/>
    </row>
    <row r="278" spans="3:30">
      <c r="C278" s="517"/>
      <c r="D278" s="517"/>
      <c r="E278" s="517"/>
      <c r="F278" s="517"/>
      <c r="G278" s="517"/>
      <c r="H278" s="517"/>
      <c r="I278" s="517"/>
      <c r="J278" s="517"/>
      <c r="K278" s="517"/>
      <c r="L278" s="517"/>
      <c r="M278" s="517"/>
      <c r="N278" s="517"/>
      <c r="O278" s="517"/>
      <c r="P278" s="517"/>
      <c r="Q278" s="517"/>
      <c r="R278" s="517"/>
      <c r="S278" s="517"/>
      <c r="T278" s="517"/>
      <c r="U278" s="517"/>
      <c r="V278" s="517"/>
      <c r="W278" s="517"/>
      <c r="X278" s="517"/>
      <c r="Y278" s="517"/>
      <c r="Z278" s="517"/>
      <c r="AA278" s="517"/>
      <c r="AB278" s="517"/>
      <c r="AC278" s="517"/>
      <c r="AD278" s="517"/>
    </row>
    <row r="279" spans="3:30">
      <c r="C279" s="517"/>
      <c r="D279" s="517"/>
      <c r="E279" s="517"/>
      <c r="F279" s="517"/>
      <c r="G279" s="517"/>
      <c r="H279" s="517"/>
      <c r="I279" s="517"/>
      <c r="J279" s="517"/>
      <c r="K279" s="517"/>
      <c r="L279" s="517"/>
      <c r="M279" s="517"/>
      <c r="N279" s="517"/>
      <c r="O279" s="517"/>
      <c r="P279" s="517"/>
      <c r="Q279" s="517"/>
      <c r="R279" s="517"/>
      <c r="S279" s="517"/>
      <c r="T279" s="517"/>
      <c r="U279" s="517"/>
      <c r="V279" s="517"/>
      <c r="W279" s="517"/>
      <c r="X279" s="517"/>
      <c r="Y279" s="517"/>
      <c r="Z279" s="517"/>
      <c r="AA279" s="517"/>
      <c r="AB279" s="517"/>
      <c r="AC279" s="517"/>
      <c r="AD279" s="517"/>
    </row>
    <row r="280" spans="3:30">
      <c r="C280" s="517"/>
      <c r="D280" s="517"/>
      <c r="E280" s="517"/>
      <c r="F280" s="517"/>
      <c r="G280" s="517"/>
      <c r="H280" s="517"/>
      <c r="I280" s="517"/>
      <c r="J280" s="517"/>
      <c r="K280" s="517"/>
      <c r="L280" s="517"/>
      <c r="M280" s="517"/>
      <c r="N280" s="517"/>
      <c r="O280" s="517"/>
      <c r="P280" s="517"/>
      <c r="Q280" s="517"/>
      <c r="R280" s="517"/>
      <c r="S280" s="517"/>
      <c r="T280" s="517"/>
      <c r="U280" s="517"/>
      <c r="V280" s="517"/>
      <c r="W280" s="517"/>
      <c r="X280" s="517"/>
      <c r="Y280" s="517"/>
      <c r="Z280" s="517"/>
      <c r="AA280" s="517"/>
      <c r="AB280" s="517"/>
      <c r="AC280" s="517"/>
      <c r="AD280" s="517"/>
    </row>
    <row r="281" spans="3:30">
      <c r="C281" s="517"/>
      <c r="D281" s="517"/>
      <c r="E281" s="517"/>
      <c r="F281" s="517"/>
      <c r="G281" s="517"/>
      <c r="H281" s="517"/>
      <c r="I281" s="517"/>
      <c r="J281" s="517"/>
      <c r="K281" s="517"/>
      <c r="L281" s="517"/>
      <c r="M281" s="517"/>
      <c r="N281" s="517"/>
      <c r="O281" s="517"/>
      <c r="P281" s="517"/>
      <c r="Q281" s="517"/>
      <c r="R281" s="517"/>
      <c r="S281" s="517"/>
      <c r="T281" s="517"/>
      <c r="U281" s="517"/>
      <c r="V281" s="517"/>
      <c r="W281" s="517"/>
      <c r="X281" s="517"/>
      <c r="Y281" s="517"/>
      <c r="Z281" s="517"/>
      <c r="AA281" s="517"/>
      <c r="AB281" s="517"/>
      <c r="AC281" s="517"/>
      <c r="AD281" s="517"/>
    </row>
    <row r="282" spans="3:30">
      <c r="C282" s="517"/>
      <c r="D282" s="517"/>
      <c r="E282" s="517"/>
      <c r="F282" s="517"/>
      <c r="G282" s="517"/>
      <c r="H282" s="517"/>
      <c r="I282" s="517"/>
      <c r="J282" s="517"/>
      <c r="K282" s="517"/>
      <c r="L282" s="517"/>
      <c r="M282" s="517"/>
      <c r="N282" s="517"/>
      <c r="O282" s="517"/>
      <c r="P282" s="517"/>
      <c r="Q282" s="517"/>
      <c r="R282" s="517"/>
      <c r="S282" s="517"/>
      <c r="T282" s="517"/>
      <c r="U282" s="517"/>
      <c r="V282" s="517"/>
      <c r="W282" s="517"/>
      <c r="X282" s="517"/>
      <c r="Y282" s="517"/>
      <c r="Z282" s="517"/>
      <c r="AA282" s="517"/>
      <c r="AB282" s="517"/>
      <c r="AC282" s="517"/>
      <c r="AD282" s="517"/>
    </row>
    <row r="283" spans="3:30">
      <c r="C283" s="517"/>
      <c r="D283" s="517"/>
      <c r="E283" s="517"/>
      <c r="F283" s="517"/>
      <c r="G283" s="517"/>
      <c r="H283" s="517"/>
      <c r="I283" s="517"/>
      <c r="J283" s="517"/>
      <c r="K283" s="517"/>
      <c r="L283" s="517"/>
      <c r="M283" s="517"/>
      <c r="N283" s="517"/>
      <c r="O283" s="517"/>
      <c r="P283" s="517"/>
      <c r="Q283" s="517"/>
      <c r="R283" s="517"/>
      <c r="S283" s="517"/>
      <c r="T283" s="517"/>
      <c r="U283" s="517"/>
      <c r="V283" s="517"/>
      <c r="W283" s="517"/>
      <c r="X283" s="517"/>
      <c r="Y283" s="517"/>
      <c r="Z283" s="517"/>
      <c r="AA283" s="517"/>
      <c r="AB283" s="517"/>
      <c r="AC283" s="517"/>
      <c r="AD283" s="517"/>
    </row>
    <row r="284" spans="3:30">
      <c r="C284" s="517"/>
      <c r="D284" s="517"/>
      <c r="E284" s="517"/>
      <c r="F284" s="517"/>
      <c r="G284" s="517"/>
      <c r="H284" s="517"/>
      <c r="I284" s="517"/>
      <c r="J284" s="517"/>
      <c r="K284" s="517"/>
      <c r="L284" s="517"/>
      <c r="M284" s="517"/>
      <c r="N284" s="517"/>
      <c r="O284" s="517"/>
      <c r="P284" s="517"/>
      <c r="Q284" s="517"/>
      <c r="R284" s="517"/>
      <c r="S284" s="517"/>
      <c r="T284" s="517"/>
      <c r="U284" s="517"/>
      <c r="V284" s="517"/>
      <c r="W284" s="517"/>
      <c r="X284" s="517"/>
      <c r="Y284" s="517"/>
      <c r="Z284" s="517"/>
      <c r="AA284" s="517"/>
      <c r="AB284" s="517"/>
      <c r="AC284" s="517"/>
      <c r="AD284" s="517"/>
    </row>
    <row r="285" spans="3:30">
      <c r="C285" s="517"/>
      <c r="D285" s="517"/>
      <c r="E285" s="517"/>
      <c r="F285" s="517"/>
      <c r="G285" s="517"/>
      <c r="H285" s="517"/>
      <c r="I285" s="517"/>
      <c r="J285" s="517"/>
      <c r="K285" s="517"/>
      <c r="L285" s="517"/>
      <c r="M285" s="517"/>
      <c r="N285" s="517"/>
      <c r="O285" s="517"/>
      <c r="P285" s="517"/>
      <c r="Q285" s="517"/>
      <c r="R285" s="517"/>
      <c r="S285" s="517"/>
      <c r="T285" s="517"/>
      <c r="U285" s="517"/>
      <c r="V285" s="517"/>
      <c r="W285" s="517"/>
      <c r="X285" s="517"/>
      <c r="Y285" s="517"/>
      <c r="Z285" s="517"/>
      <c r="AA285" s="517"/>
      <c r="AB285" s="517"/>
      <c r="AC285" s="517"/>
      <c r="AD285" s="517"/>
    </row>
    <row r="286" spans="3:30">
      <c r="C286" s="517"/>
      <c r="D286" s="517"/>
      <c r="E286" s="517"/>
      <c r="F286" s="517"/>
      <c r="G286" s="517"/>
      <c r="H286" s="517"/>
      <c r="I286" s="517"/>
      <c r="J286" s="517"/>
      <c r="K286" s="517"/>
      <c r="L286" s="517"/>
      <c r="M286" s="517"/>
      <c r="N286" s="517"/>
      <c r="O286" s="517"/>
      <c r="P286" s="517"/>
      <c r="Q286" s="517"/>
      <c r="R286" s="517"/>
      <c r="S286" s="517"/>
      <c r="T286" s="517"/>
      <c r="U286" s="517"/>
      <c r="V286" s="517"/>
      <c r="W286" s="517"/>
      <c r="X286" s="517"/>
      <c r="Y286" s="517"/>
      <c r="Z286" s="517"/>
      <c r="AA286" s="517"/>
      <c r="AB286" s="517"/>
      <c r="AC286" s="517"/>
      <c r="AD286" s="517"/>
    </row>
    <row r="287" spans="3:30">
      <c r="C287" s="517"/>
      <c r="D287" s="517"/>
      <c r="E287" s="517"/>
      <c r="F287" s="517"/>
      <c r="G287" s="517"/>
      <c r="H287" s="517"/>
      <c r="I287" s="517"/>
      <c r="J287" s="517"/>
      <c r="K287" s="517"/>
      <c r="L287" s="517"/>
      <c r="M287" s="517"/>
      <c r="N287" s="517"/>
      <c r="O287" s="517"/>
      <c r="P287" s="517"/>
      <c r="Q287" s="517"/>
      <c r="R287" s="517"/>
      <c r="S287" s="517"/>
      <c r="T287" s="517"/>
      <c r="U287" s="517"/>
      <c r="V287" s="517"/>
      <c r="W287" s="517"/>
      <c r="X287" s="517"/>
      <c r="Y287" s="517"/>
      <c r="Z287" s="517"/>
      <c r="AA287" s="517"/>
      <c r="AB287" s="517"/>
      <c r="AC287" s="517"/>
      <c r="AD287" s="517"/>
    </row>
    <row r="288" spans="3:30">
      <c r="C288" s="517"/>
      <c r="D288" s="517"/>
      <c r="E288" s="517"/>
      <c r="F288" s="517"/>
      <c r="G288" s="517"/>
      <c r="H288" s="517"/>
      <c r="I288" s="517"/>
      <c r="J288" s="517"/>
      <c r="K288" s="517"/>
      <c r="L288" s="517"/>
      <c r="M288" s="517"/>
      <c r="N288" s="517"/>
      <c r="O288" s="517"/>
      <c r="P288" s="517"/>
      <c r="Q288" s="517"/>
      <c r="R288" s="517"/>
      <c r="S288" s="517"/>
      <c r="T288" s="517"/>
      <c r="U288" s="517"/>
      <c r="V288" s="517"/>
      <c r="W288" s="517"/>
      <c r="X288" s="517"/>
      <c r="Y288" s="517"/>
      <c r="Z288" s="517"/>
      <c r="AA288" s="517"/>
      <c r="AB288" s="517"/>
      <c r="AC288" s="517"/>
      <c r="AD288" s="517"/>
    </row>
    <row r="289" spans="3:30">
      <c r="C289" s="517"/>
      <c r="D289" s="517"/>
      <c r="E289" s="517"/>
      <c r="F289" s="517"/>
      <c r="G289" s="517"/>
      <c r="H289" s="517"/>
      <c r="I289" s="517"/>
      <c r="J289" s="517"/>
      <c r="K289" s="517"/>
      <c r="L289" s="517"/>
      <c r="M289" s="517"/>
      <c r="N289" s="517"/>
      <c r="O289" s="517"/>
      <c r="P289" s="517"/>
      <c r="Q289" s="517"/>
      <c r="R289" s="517"/>
      <c r="S289" s="517"/>
      <c r="T289" s="517"/>
      <c r="U289" s="517"/>
      <c r="V289" s="517"/>
      <c r="W289" s="517"/>
      <c r="X289" s="517"/>
      <c r="Y289" s="517"/>
      <c r="Z289" s="517"/>
      <c r="AA289" s="517"/>
      <c r="AB289" s="517"/>
      <c r="AC289" s="517"/>
      <c r="AD289" s="517"/>
    </row>
    <row r="290" spans="3:30">
      <c r="C290" s="517"/>
      <c r="D290" s="517"/>
      <c r="E290" s="517"/>
      <c r="F290" s="517"/>
      <c r="G290" s="517"/>
      <c r="H290" s="517"/>
      <c r="I290" s="517"/>
      <c r="J290" s="517"/>
      <c r="K290" s="517"/>
      <c r="L290" s="517"/>
      <c r="M290" s="517"/>
      <c r="N290" s="517"/>
      <c r="O290" s="517"/>
      <c r="P290" s="517"/>
      <c r="Q290" s="517"/>
      <c r="R290" s="517"/>
      <c r="S290" s="517"/>
      <c r="T290" s="517"/>
      <c r="U290" s="517"/>
      <c r="V290" s="517"/>
      <c r="W290" s="517"/>
      <c r="X290" s="517"/>
      <c r="Y290" s="517"/>
      <c r="Z290" s="517"/>
      <c r="AA290" s="517"/>
      <c r="AB290" s="517"/>
      <c r="AC290" s="517"/>
      <c r="AD290" s="517"/>
    </row>
    <row r="291" spans="3:30">
      <c r="C291" s="517"/>
      <c r="D291" s="517"/>
      <c r="E291" s="517"/>
      <c r="F291" s="517"/>
      <c r="G291" s="517"/>
      <c r="H291" s="517"/>
      <c r="I291" s="517"/>
      <c r="J291" s="517"/>
      <c r="K291" s="517"/>
      <c r="L291" s="517"/>
      <c r="M291" s="517"/>
      <c r="N291" s="517"/>
      <c r="O291" s="517"/>
      <c r="P291" s="517"/>
      <c r="Q291" s="517"/>
      <c r="R291" s="517"/>
      <c r="S291" s="517"/>
      <c r="T291" s="517"/>
      <c r="U291" s="517"/>
      <c r="V291" s="517"/>
      <c r="W291" s="517"/>
      <c r="X291" s="517"/>
      <c r="Y291" s="517"/>
      <c r="Z291" s="517"/>
      <c r="AA291" s="517"/>
      <c r="AB291" s="517"/>
      <c r="AC291" s="517"/>
      <c r="AD291" s="517"/>
    </row>
    <row r="292" spans="3:30">
      <c r="C292" s="517"/>
      <c r="D292" s="517"/>
      <c r="E292" s="517"/>
      <c r="F292" s="517"/>
      <c r="G292" s="517"/>
      <c r="H292" s="517"/>
      <c r="I292" s="517"/>
      <c r="J292" s="517"/>
      <c r="K292" s="517"/>
      <c r="L292" s="517"/>
      <c r="M292" s="517"/>
      <c r="N292" s="517"/>
      <c r="O292" s="517"/>
      <c r="P292" s="517"/>
      <c r="Q292" s="517"/>
      <c r="R292" s="517"/>
      <c r="S292" s="517"/>
      <c r="T292" s="517"/>
      <c r="U292" s="517"/>
      <c r="V292" s="517"/>
      <c r="W292" s="517"/>
      <c r="X292" s="517"/>
      <c r="Y292" s="517"/>
      <c r="Z292" s="517"/>
      <c r="AA292" s="517"/>
      <c r="AB292" s="517"/>
      <c r="AC292" s="517"/>
      <c r="AD292" s="517"/>
    </row>
    <row r="293" spans="3:30">
      <c r="C293" s="517"/>
      <c r="D293" s="517"/>
      <c r="E293" s="517"/>
      <c r="F293" s="517"/>
      <c r="G293" s="517"/>
      <c r="H293" s="517"/>
      <c r="I293" s="517"/>
      <c r="J293" s="517"/>
      <c r="K293" s="517"/>
      <c r="L293" s="517"/>
      <c r="M293" s="517"/>
      <c r="N293" s="517"/>
      <c r="O293" s="517"/>
      <c r="P293" s="517"/>
      <c r="Q293" s="517"/>
      <c r="R293" s="517"/>
      <c r="S293" s="517"/>
      <c r="T293" s="517"/>
      <c r="U293" s="517"/>
      <c r="V293" s="517"/>
      <c r="W293" s="517"/>
      <c r="X293" s="517"/>
      <c r="Y293" s="517"/>
      <c r="Z293" s="517"/>
      <c r="AA293" s="517"/>
      <c r="AB293" s="517"/>
      <c r="AC293" s="517"/>
      <c r="AD293" s="517"/>
    </row>
    <row r="294" spans="3:30">
      <c r="C294" s="517"/>
      <c r="D294" s="517"/>
      <c r="E294" s="517"/>
      <c r="F294" s="517"/>
      <c r="G294" s="517"/>
      <c r="H294" s="517"/>
      <c r="I294" s="517"/>
      <c r="J294" s="517"/>
      <c r="K294" s="517"/>
      <c r="L294" s="517"/>
      <c r="M294" s="517"/>
      <c r="N294" s="517"/>
      <c r="O294" s="517"/>
      <c r="P294" s="517"/>
      <c r="Q294" s="517"/>
      <c r="R294" s="517"/>
      <c r="S294" s="517"/>
      <c r="T294" s="517"/>
      <c r="U294" s="517"/>
      <c r="V294" s="517"/>
      <c r="W294" s="517"/>
      <c r="X294" s="517"/>
      <c r="Y294" s="517"/>
      <c r="Z294" s="517"/>
      <c r="AA294" s="517"/>
      <c r="AB294" s="517"/>
      <c r="AC294" s="517"/>
      <c r="AD294" s="517"/>
    </row>
    <row r="295" spans="3:30">
      <c r="C295" s="517"/>
      <c r="D295" s="517"/>
      <c r="E295" s="517"/>
      <c r="F295" s="517"/>
      <c r="G295" s="517"/>
      <c r="H295" s="517"/>
      <c r="I295" s="517"/>
      <c r="J295" s="517"/>
      <c r="K295" s="517"/>
      <c r="L295" s="517"/>
      <c r="M295" s="517"/>
      <c r="N295" s="517"/>
      <c r="O295" s="517"/>
      <c r="P295" s="517"/>
      <c r="Q295" s="517"/>
      <c r="R295" s="517"/>
      <c r="S295" s="517"/>
      <c r="T295" s="517"/>
      <c r="U295" s="517"/>
      <c r="V295" s="517"/>
      <c r="W295" s="517"/>
      <c r="X295" s="517"/>
      <c r="Y295" s="517"/>
      <c r="Z295" s="517"/>
      <c r="AA295" s="517"/>
      <c r="AB295" s="517"/>
      <c r="AC295" s="517"/>
      <c r="AD295" s="517"/>
    </row>
    <row r="296" spans="3:30">
      <c r="C296" s="517"/>
      <c r="D296" s="517"/>
      <c r="E296" s="517"/>
      <c r="F296" s="517"/>
      <c r="G296" s="517"/>
      <c r="H296" s="517"/>
      <c r="I296" s="517"/>
      <c r="J296" s="517"/>
      <c r="K296" s="517"/>
      <c r="L296" s="517"/>
      <c r="M296" s="517"/>
      <c r="N296" s="517"/>
      <c r="O296" s="517"/>
      <c r="P296" s="517"/>
      <c r="Q296" s="517"/>
      <c r="R296" s="517"/>
      <c r="S296" s="517"/>
      <c r="T296" s="517"/>
      <c r="U296" s="517"/>
      <c r="V296" s="517"/>
      <c r="W296" s="517"/>
      <c r="X296" s="517"/>
      <c r="Y296" s="517"/>
      <c r="Z296" s="517"/>
      <c r="AA296" s="517"/>
      <c r="AB296" s="517"/>
      <c r="AC296" s="517"/>
      <c r="AD296" s="517"/>
    </row>
    <row r="297" spans="3:30">
      <c r="C297" s="517"/>
      <c r="D297" s="517"/>
      <c r="E297" s="517"/>
      <c r="F297" s="517"/>
      <c r="G297" s="517"/>
      <c r="H297" s="517"/>
      <c r="I297" s="517"/>
      <c r="J297" s="517"/>
      <c r="K297" s="517"/>
      <c r="L297" s="517"/>
      <c r="M297" s="517"/>
      <c r="N297" s="517"/>
      <c r="O297" s="517"/>
      <c r="P297" s="517"/>
      <c r="Q297" s="517"/>
      <c r="R297" s="517"/>
      <c r="S297" s="517"/>
      <c r="T297" s="517"/>
      <c r="U297" s="517"/>
      <c r="V297" s="517"/>
      <c r="W297" s="517"/>
      <c r="X297" s="517"/>
      <c r="Y297" s="517"/>
      <c r="Z297" s="517"/>
      <c r="AA297" s="517"/>
      <c r="AB297" s="517"/>
      <c r="AC297" s="517"/>
      <c r="AD297" s="517"/>
    </row>
    <row r="298" spans="3:30">
      <c r="C298" s="517"/>
      <c r="D298" s="517"/>
      <c r="E298" s="517"/>
      <c r="F298" s="517"/>
      <c r="G298" s="517"/>
      <c r="H298" s="517"/>
      <c r="I298" s="517"/>
      <c r="J298" s="517"/>
      <c r="K298" s="517"/>
      <c r="L298" s="517"/>
      <c r="M298" s="517"/>
      <c r="N298" s="517"/>
      <c r="O298" s="517"/>
      <c r="P298" s="517"/>
      <c r="Q298" s="517"/>
      <c r="R298" s="517"/>
      <c r="S298" s="517"/>
      <c r="T298" s="517"/>
      <c r="U298" s="517"/>
      <c r="V298" s="517"/>
      <c r="W298" s="517"/>
      <c r="X298" s="517"/>
      <c r="Y298" s="517"/>
      <c r="Z298" s="517"/>
      <c r="AA298" s="517"/>
      <c r="AB298" s="517"/>
      <c r="AC298" s="517"/>
      <c r="AD298" s="517"/>
    </row>
    <row r="299" spans="3:30">
      <c r="C299" s="517"/>
      <c r="D299" s="517"/>
      <c r="E299" s="517"/>
      <c r="F299" s="517"/>
      <c r="G299" s="517"/>
      <c r="H299" s="517"/>
      <c r="I299" s="517"/>
      <c r="J299" s="517"/>
      <c r="K299" s="517"/>
      <c r="L299" s="517"/>
      <c r="M299" s="517"/>
      <c r="N299" s="517"/>
      <c r="O299" s="517"/>
      <c r="P299" s="517"/>
      <c r="Q299" s="517"/>
      <c r="R299" s="517"/>
      <c r="S299" s="517"/>
      <c r="T299" s="517"/>
      <c r="U299" s="517"/>
      <c r="V299" s="517"/>
      <c r="W299" s="517"/>
      <c r="X299" s="517"/>
      <c r="Y299" s="517"/>
      <c r="Z299" s="517"/>
      <c r="AA299" s="517"/>
      <c r="AB299" s="517"/>
      <c r="AC299" s="517"/>
      <c r="AD299" s="517"/>
    </row>
    <row r="300" spans="3:30">
      <c r="C300" s="517"/>
      <c r="D300" s="517"/>
      <c r="E300" s="517"/>
      <c r="F300" s="517"/>
      <c r="G300" s="517"/>
      <c r="H300" s="517"/>
      <c r="I300" s="517"/>
      <c r="J300" s="517"/>
      <c r="K300" s="517"/>
      <c r="L300" s="517"/>
      <c r="M300" s="517"/>
      <c r="N300" s="517"/>
      <c r="O300" s="517"/>
      <c r="P300" s="517"/>
      <c r="Q300" s="517"/>
      <c r="R300" s="517"/>
      <c r="S300" s="517"/>
      <c r="T300" s="517"/>
      <c r="U300" s="517"/>
      <c r="V300" s="517"/>
      <c r="W300" s="517"/>
      <c r="X300" s="517"/>
      <c r="Y300" s="517"/>
      <c r="Z300" s="517"/>
      <c r="AA300" s="517"/>
      <c r="AB300" s="517"/>
      <c r="AC300" s="517"/>
      <c r="AD300" s="517"/>
    </row>
    <row r="301" spans="3:30">
      <c r="C301" s="517"/>
      <c r="D301" s="517"/>
      <c r="E301" s="517"/>
      <c r="F301" s="517"/>
      <c r="G301" s="517"/>
      <c r="H301" s="517"/>
      <c r="I301" s="517"/>
      <c r="J301" s="517"/>
      <c r="K301" s="517"/>
      <c r="L301" s="517"/>
      <c r="M301" s="517"/>
      <c r="N301" s="517"/>
      <c r="O301" s="517"/>
      <c r="P301" s="517"/>
      <c r="Q301" s="517"/>
      <c r="R301" s="517"/>
      <c r="S301" s="517"/>
      <c r="T301" s="517"/>
      <c r="U301" s="517"/>
      <c r="V301" s="517"/>
      <c r="W301" s="517"/>
      <c r="X301" s="517"/>
      <c r="Y301" s="517"/>
      <c r="Z301" s="517"/>
      <c r="AA301" s="517"/>
      <c r="AB301" s="517"/>
      <c r="AC301" s="517"/>
      <c r="AD301" s="517"/>
    </row>
    <row r="302" spans="3:30">
      <c r="C302" s="517"/>
      <c r="D302" s="517"/>
      <c r="E302" s="517"/>
      <c r="F302" s="517"/>
      <c r="G302" s="517"/>
      <c r="H302" s="517"/>
      <c r="I302" s="517"/>
      <c r="J302" s="517"/>
      <c r="K302" s="517"/>
      <c r="L302" s="517"/>
      <c r="M302" s="517"/>
      <c r="N302" s="517"/>
      <c r="O302" s="517"/>
      <c r="P302" s="517"/>
      <c r="Q302" s="517"/>
      <c r="R302" s="517"/>
      <c r="S302" s="517"/>
      <c r="T302" s="517"/>
      <c r="U302" s="517"/>
      <c r="V302" s="517"/>
      <c r="W302" s="517"/>
      <c r="X302" s="517"/>
      <c r="Y302" s="517"/>
      <c r="Z302" s="517"/>
      <c r="AA302" s="517"/>
      <c r="AB302" s="517"/>
      <c r="AC302" s="517"/>
      <c r="AD302" s="517"/>
    </row>
    <row r="303" spans="3:30">
      <c r="C303" s="517"/>
      <c r="D303" s="517"/>
      <c r="E303" s="517"/>
      <c r="F303" s="517"/>
      <c r="G303" s="517"/>
      <c r="H303" s="517"/>
      <c r="I303" s="517"/>
      <c r="J303" s="517"/>
      <c r="K303" s="517"/>
      <c r="L303" s="517"/>
      <c r="M303" s="517"/>
      <c r="N303" s="517"/>
      <c r="O303" s="517"/>
      <c r="P303" s="517"/>
      <c r="Q303" s="517"/>
      <c r="R303" s="517"/>
      <c r="S303" s="517"/>
      <c r="T303" s="517"/>
      <c r="U303" s="517"/>
      <c r="V303" s="517"/>
      <c r="W303" s="517"/>
      <c r="X303" s="517"/>
      <c r="Y303" s="517"/>
      <c r="Z303" s="517"/>
      <c r="AA303" s="517"/>
      <c r="AB303" s="517"/>
      <c r="AC303" s="517"/>
      <c r="AD303" s="517"/>
    </row>
    <row r="304" spans="3:30">
      <c r="C304" s="517"/>
      <c r="D304" s="517"/>
      <c r="E304" s="517"/>
      <c r="F304" s="517"/>
      <c r="G304" s="517"/>
      <c r="H304" s="517"/>
      <c r="I304" s="517"/>
      <c r="J304" s="517"/>
      <c r="K304" s="517"/>
      <c r="L304" s="517"/>
      <c r="M304" s="517"/>
      <c r="N304" s="517"/>
      <c r="O304" s="517"/>
      <c r="P304" s="517"/>
      <c r="Q304" s="517"/>
      <c r="R304" s="517"/>
      <c r="S304" s="517"/>
      <c r="T304" s="517"/>
      <c r="U304" s="517"/>
      <c r="V304" s="517"/>
      <c r="W304" s="517"/>
      <c r="X304" s="517"/>
      <c r="Y304" s="517"/>
      <c r="Z304" s="517"/>
      <c r="AA304" s="517"/>
      <c r="AB304" s="517"/>
      <c r="AC304" s="517"/>
      <c r="AD304" s="517"/>
    </row>
    <row r="305" spans="3:30">
      <c r="C305" s="517"/>
      <c r="D305" s="517"/>
      <c r="E305" s="517"/>
      <c r="F305" s="517"/>
      <c r="G305" s="517"/>
      <c r="H305" s="517"/>
      <c r="I305" s="517"/>
      <c r="J305" s="517"/>
      <c r="K305" s="517"/>
      <c r="L305" s="517"/>
      <c r="M305" s="517"/>
      <c r="N305" s="517"/>
      <c r="O305" s="517"/>
      <c r="P305" s="517"/>
      <c r="Q305" s="517"/>
      <c r="R305" s="517"/>
      <c r="S305" s="517"/>
      <c r="T305" s="517"/>
      <c r="U305" s="517"/>
      <c r="V305" s="517"/>
      <c r="W305" s="517"/>
      <c r="X305" s="517"/>
      <c r="Y305" s="517"/>
      <c r="Z305" s="517"/>
      <c r="AA305" s="517"/>
      <c r="AB305" s="517"/>
      <c r="AC305" s="517"/>
      <c r="AD305" s="517"/>
    </row>
    <row r="306" spans="3:30">
      <c r="C306" s="517"/>
      <c r="D306" s="517"/>
      <c r="E306" s="517"/>
      <c r="F306" s="517"/>
      <c r="G306" s="517"/>
      <c r="H306" s="517"/>
      <c r="I306" s="517"/>
      <c r="J306" s="517"/>
      <c r="K306" s="517"/>
      <c r="L306" s="517"/>
      <c r="M306" s="517"/>
      <c r="N306" s="517"/>
      <c r="O306" s="517"/>
      <c r="P306" s="517"/>
      <c r="Q306" s="517"/>
      <c r="R306" s="517"/>
      <c r="S306" s="517"/>
      <c r="T306" s="517"/>
      <c r="U306" s="517"/>
      <c r="V306" s="517"/>
      <c r="W306" s="517"/>
      <c r="X306" s="517"/>
      <c r="Y306" s="517"/>
      <c r="Z306" s="517"/>
      <c r="AA306" s="517"/>
      <c r="AB306" s="517"/>
      <c r="AC306" s="517"/>
      <c r="AD306" s="517"/>
    </row>
    <row r="307" spans="3:30">
      <c r="C307" s="517"/>
      <c r="D307" s="517"/>
      <c r="E307" s="517"/>
      <c r="F307" s="517"/>
      <c r="G307" s="517"/>
      <c r="H307" s="517"/>
      <c r="I307" s="517"/>
      <c r="J307" s="517"/>
      <c r="K307" s="517"/>
      <c r="L307" s="517"/>
      <c r="M307" s="517"/>
      <c r="N307" s="517"/>
      <c r="O307" s="517"/>
      <c r="P307" s="517"/>
      <c r="Q307" s="517"/>
      <c r="R307" s="517"/>
      <c r="S307" s="517"/>
      <c r="T307" s="517"/>
      <c r="U307" s="517"/>
      <c r="V307" s="517"/>
      <c r="W307" s="517"/>
      <c r="X307" s="517"/>
      <c r="Y307" s="517"/>
      <c r="Z307" s="517"/>
      <c r="AA307" s="517"/>
      <c r="AB307" s="517"/>
      <c r="AC307" s="517"/>
      <c r="AD307" s="517"/>
    </row>
    <row r="308" spans="3:30">
      <c r="C308" s="517"/>
      <c r="D308" s="517"/>
      <c r="E308" s="517"/>
      <c r="F308" s="517"/>
      <c r="G308" s="517"/>
      <c r="H308" s="517"/>
      <c r="I308" s="517"/>
      <c r="J308" s="517"/>
      <c r="K308" s="517"/>
      <c r="L308" s="517"/>
      <c r="M308" s="517"/>
      <c r="N308" s="517"/>
      <c r="O308" s="517"/>
      <c r="P308" s="517"/>
      <c r="Q308" s="517"/>
      <c r="R308" s="517"/>
      <c r="S308" s="517"/>
      <c r="T308" s="517"/>
      <c r="U308" s="517"/>
      <c r="V308" s="517"/>
      <c r="W308" s="517"/>
      <c r="X308" s="517"/>
      <c r="Y308" s="517"/>
      <c r="Z308" s="517"/>
      <c r="AA308" s="517"/>
      <c r="AB308" s="517"/>
      <c r="AC308" s="517"/>
      <c r="AD308" s="517"/>
    </row>
    <row r="309" spans="3:30">
      <c r="C309" s="517"/>
      <c r="D309" s="517"/>
      <c r="E309" s="517"/>
      <c r="F309" s="517"/>
      <c r="G309" s="517"/>
      <c r="H309" s="517"/>
      <c r="I309" s="517"/>
      <c r="J309" s="517"/>
      <c r="K309" s="517"/>
      <c r="L309" s="517"/>
      <c r="M309" s="517"/>
      <c r="N309" s="517"/>
      <c r="O309" s="517"/>
      <c r="P309" s="517"/>
      <c r="Q309" s="517"/>
      <c r="R309" s="517"/>
      <c r="S309" s="517"/>
      <c r="T309" s="517"/>
      <c r="U309" s="517"/>
      <c r="V309" s="517"/>
      <c r="W309" s="517"/>
      <c r="X309" s="517"/>
      <c r="Y309" s="517"/>
      <c r="Z309" s="517"/>
      <c r="AA309" s="517"/>
      <c r="AB309" s="517"/>
      <c r="AC309" s="517"/>
      <c r="AD309" s="517"/>
    </row>
    <row r="310" spans="3:30">
      <c r="C310" s="517"/>
      <c r="D310" s="517"/>
      <c r="E310" s="517"/>
      <c r="F310" s="517"/>
      <c r="G310" s="517"/>
      <c r="H310" s="517"/>
      <c r="I310" s="517"/>
      <c r="J310" s="517"/>
      <c r="K310" s="517"/>
      <c r="L310" s="517"/>
      <c r="M310" s="517"/>
      <c r="N310" s="517"/>
      <c r="O310" s="517"/>
      <c r="P310" s="517"/>
      <c r="Q310" s="517"/>
      <c r="R310" s="517"/>
      <c r="S310" s="517"/>
      <c r="T310" s="517"/>
      <c r="U310" s="517"/>
      <c r="V310" s="517"/>
      <c r="W310" s="517"/>
      <c r="X310" s="517"/>
      <c r="Y310" s="517"/>
      <c r="Z310" s="517"/>
      <c r="AA310" s="517"/>
      <c r="AB310" s="517"/>
      <c r="AC310" s="517"/>
      <c r="AD310" s="517"/>
    </row>
    <row r="311" spans="3:30">
      <c r="C311" s="517"/>
      <c r="D311" s="517"/>
      <c r="E311" s="517"/>
      <c r="F311" s="517"/>
      <c r="G311" s="517"/>
      <c r="H311" s="517"/>
      <c r="I311" s="517"/>
      <c r="J311" s="517"/>
      <c r="K311" s="517"/>
      <c r="L311" s="517"/>
      <c r="M311" s="517"/>
      <c r="N311" s="517"/>
      <c r="O311" s="517"/>
      <c r="P311" s="517"/>
      <c r="Q311" s="517"/>
      <c r="R311" s="517"/>
      <c r="S311" s="517"/>
      <c r="T311" s="517"/>
      <c r="U311" s="517"/>
      <c r="V311" s="517"/>
      <c r="W311" s="517"/>
      <c r="X311" s="517"/>
      <c r="Y311" s="517"/>
      <c r="Z311" s="517"/>
      <c r="AA311" s="517"/>
      <c r="AB311" s="517"/>
      <c r="AC311" s="517"/>
      <c r="AD311" s="517"/>
    </row>
    <row r="312" spans="3:30">
      <c r="C312" s="517"/>
      <c r="D312" s="517"/>
      <c r="E312" s="517"/>
      <c r="F312" s="517"/>
      <c r="G312" s="517"/>
      <c r="H312" s="517"/>
      <c r="I312" s="517"/>
      <c r="J312" s="517"/>
      <c r="K312" s="517"/>
      <c r="L312" s="517"/>
      <c r="M312" s="517"/>
      <c r="N312" s="517"/>
      <c r="O312" s="517"/>
      <c r="P312" s="517"/>
      <c r="Q312" s="517"/>
      <c r="R312" s="517"/>
      <c r="S312" s="517"/>
      <c r="T312" s="517"/>
      <c r="U312" s="517"/>
      <c r="V312" s="517"/>
      <c r="W312" s="517"/>
      <c r="X312" s="517"/>
      <c r="Y312" s="517"/>
      <c r="Z312" s="517"/>
      <c r="AA312" s="517"/>
      <c r="AB312" s="517"/>
      <c r="AC312" s="517"/>
      <c r="AD312" s="517"/>
    </row>
    <row r="313" spans="3:30">
      <c r="C313" s="517"/>
      <c r="D313" s="517"/>
      <c r="E313" s="517"/>
      <c r="F313" s="517"/>
      <c r="G313" s="517"/>
      <c r="H313" s="517"/>
      <c r="I313" s="517"/>
      <c r="J313" s="517"/>
      <c r="K313" s="517"/>
      <c r="L313" s="517"/>
      <c r="M313" s="517"/>
      <c r="N313" s="517"/>
      <c r="O313" s="517"/>
      <c r="P313" s="517"/>
      <c r="Q313" s="517"/>
      <c r="R313" s="517"/>
      <c r="S313" s="517"/>
      <c r="T313" s="517"/>
      <c r="U313" s="517"/>
      <c r="V313" s="517"/>
      <c r="W313" s="517"/>
      <c r="X313" s="517"/>
      <c r="Y313" s="517"/>
      <c r="Z313" s="517"/>
      <c r="AA313" s="517"/>
      <c r="AB313" s="517"/>
      <c r="AC313" s="517"/>
      <c r="AD313" s="517"/>
    </row>
    <row r="314" spans="3:30">
      <c r="C314" s="517"/>
      <c r="D314" s="517"/>
      <c r="E314" s="517"/>
      <c r="F314" s="517"/>
      <c r="G314" s="517"/>
      <c r="H314" s="517"/>
      <c r="I314" s="517"/>
      <c r="J314" s="517"/>
      <c r="K314" s="517"/>
      <c r="L314" s="517"/>
      <c r="M314" s="517"/>
      <c r="N314" s="517"/>
      <c r="O314" s="517"/>
      <c r="P314" s="517"/>
      <c r="Q314" s="517"/>
      <c r="R314" s="517"/>
      <c r="S314" s="517"/>
      <c r="T314" s="517"/>
      <c r="U314" s="517"/>
      <c r="V314" s="517"/>
      <c r="W314" s="517"/>
      <c r="X314" s="517"/>
      <c r="Y314" s="517"/>
      <c r="Z314" s="517"/>
      <c r="AA314" s="517"/>
      <c r="AB314" s="517"/>
      <c r="AC314" s="517"/>
      <c r="AD314" s="517"/>
    </row>
    <row r="315" spans="3:30">
      <c r="C315" s="517"/>
      <c r="D315" s="517"/>
      <c r="E315" s="517"/>
      <c r="F315" s="517"/>
      <c r="G315" s="517"/>
      <c r="H315" s="517"/>
      <c r="I315" s="517"/>
      <c r="J315" s="517"/>
      <c r="K315" s="517"/>
      <c r="L315" s="517"/>
      <c r="M315" s="517"/>
      <c r="N315" s="517"/>
      <c r="O315" s="517"/>
      <c r="P315" s="517"/>
      <c r="Q315" s="517"/>
      <c r="R315" s="517"/>
      <c r="S315" s="517"/>
      <c r="T315" s="517"/>
      <c r="U315" s="517"/>
      <c r="V315" s="517"/>
      <c r="W315" s="517"/>
      <c r="X315" s="517"/>
      <c r="Y315" s="517"/>
      <c r="Z315" s="517"/>
      <c r="AA315" s="517"/>
      <c r="AB315" s="517"/>
      <c r="AC315" s="517"/>
      <c r="AD315" s="517"/>
    </row>
    <row r="316" spans="3:30">
      <c r="C316" s="517"/>
      <c r="D316" s="517"/>
      <c r="E316" s="517"/>
      <c r="F316" s="517"/>
      <c r="G316" s="517"/>
      <c r="H316" s="517"/>
      <c r="I316" s="517"/>
      <c r="J316" s="517"/>
      <c r="K316" s="517"/>
      <c r="L316" s="517"/>
      <c r="M316" s="517"/>
      <c r="N316" s="517"/>
      <c r="O316" s="517"/>
      <c r="P316" s="517"/>
      <c r="Q316" s="517"/>
      <c r="R316" s="517"/>
      <c r="S316" s="517"/>
      <c r="T316" s="517"/>
      <c r="U316" s="517"/>
      <c r="V316" s="517"/>
      <c r="W316" s="517"/>
      <c r="X316" s="517"/>
      <c r="Y316" s="517"/>
      <c r="Z316" s="517"/>
      <c r="AA316" s="517"/>
      <c r="AB316" s="517"/>
      <c r="AC316" s="517"/>
      <c r="AD316" s="517"/>
    </row>
    <row r="317" spans="3:30">
      <c r="C317" s="517"/>
      <c r="D317" s="517"/>
      <c r="E317" s="517"/>
      <c r="F317" s="517"/>
      <c r="G317" s="517"/>
      <c r="H317" s="517"/>
      <c r="I317" s="517"/>
      <c r="J317" s="517"/>
      <c r="K317" s="517"/>
      <c r="L317" s="517"/>
      <c r="M317" s="517"/>
      <c r="N317" s="517"/>
      <c r="O317" s="517"/>
      <c r="P317" s="517"/>
      <c r="Q317" s="517"/>
      <c r="R317" s="517"/>
      <c r="S317" s="517"/>
      <c r="T317" s="517"/>
      <c r="U317" s="517"/>
      <c r="V317" s="517"/>
      <c r="W317" s="517"/>
      <c r="X317" s="517"/>
      <c r="Y317" s="517"/>
      <c r="Z317" s="517"/>
      <c r="AA317" s="517"/>
      <c r="AB317" s="517"/>
      <c r="AC317" s="517"/>
      <c r="AD317" s="517"/>
    </row>
    <row r="318" spans="3:30">
      <c r="C318" s="517"/>
      <c r="D318" s="517"/>
      <c r="E318" s="517"/>
      <c r="F318" s="517"/>
      <c r="G318" s="517"/>
      <c r="H318" s="517"/>
      <c r="I318" s="517"/>
      <c r="J318" s="517"/>
      <c r="K318" s="517"/>
      <c r="L318" s="517"/>
      <c r="M318" s="517"/>
      <c r="N318" s="517"/>
      <c r="O318" s="517"/>
      <c r="P318" s="517"/>
      <c r="Q318" s="517"/>
      <c r="R318" s="517"/>
      <c r="S318" s="517"/>
      <c r="T318" s="517"/>
      <c r="U318" s="517"/>
      <c r="V318" s="517"/>
      <c r="W318" s="517"/>
      <c r="X318" s="517"/>
      <c r="Y318" s="517"/>
      <c r="Z318" s="517"/>
      <c r="AA318" s="517"/>
      <c r="AB318" s="517"/>
      <c r="AC318" s="517"/>
      <c r="AD318" s="517"/>
    </row>
    <row r="319" spans="3:30">
      <c r="C319" s="517"/>
      <c r="D319" s="517"/>
      <c r="E319" s="517"/>
      <c r="F319" s="517"/>
      <c r="G319" s="517"/>
      <c r="H319" s="517"/>
      <c r="I319" s="517"/>
      <c r="J319" s="517"/>
      <c r="K319" s="517"/>
      <c r="L319" s="517"/>
      <c r="M319" s="517"/>
      <c r="N319" s="517"/>
      <c r="O319" s="517"/>
      <c r="P319" s="517"/>
      <c r="Q319" s="517"/>
      <c r="R319" s="517"/>
      <c r="S319" s="517"/>
      <c r="T319" s="517"/>
      <c r="U319" s="517"/>
      <c r="V319" s="517"/>
      <c r="W319" s="517"/>
      <c r="X319" s="517"/>
      <c r="Y319" s="517"/>
      <c r="Z319" s="517"/>
      <c r="AA319" s="517"/>
      <c r="AB319" s="517"/>
      <c r="AC319" s="517"/>
      <c r="AD319" s="517"/>
    </row>
    <row r="320" spans="3:30">
      <c r="C320" s="517"/>
      <c r="D320" s="517"/>
      <c r="E320" s="517"/>
      <c r="F320" s="517"/>
      <c r="G320" s="517"/>
      <c r="H320" s="517"/>
      <c r="I320" s="517"/>
      <c r="J320" s="517"/>
      <c r="K320" s="517"/>
      <c r="L320" s="517"/>
      <c r="M320" s="517"/>
      <c r="N320" s="517"/>
      <c r="O320" s="517"/>
      <c r="P320" s="517"/>
      <c r="Q320" s="517"/>
      <c r="R320" s="517"/>
      <c r="S320" s="517"/>
      <c r="T320" s="517"/>
      <c r="U320" s="517"/>
      <c r="V320" s="517"/>
      <c r="W320" s="517"/>
      <c r="X320" s="517"/>
      <c r="Y320" s="517"/>
      <c r="Z320" s="517"/>
      <c r="AA320" s="517"/>
      <c r="AB320" s="517"/>
      <c r="AC320" s="517"/>
      <c r="AD320" s="517"/>
    </row>
    <row r="321" spans="3:30">
      <c r="C321" s="517"/>
      <c r="D321" s="517"/>
      <c r="E321" s="517"/>
      <c r="F321" s="517"/>
      <c r="G321" s="517"/>
      <c r="H321" s="517"/>
      <c r="I321" s="517"/>
      <c r="J321" s="517"/>
      <c r="K321" s="517"/>
      <c r="L321" s="517"/>
      <c r="M321" s="517"/>
      <c r="N321" s="517"/>
      <c r="O321" s="517"/>
      <c r="P321" s="517"/>
      <c r="Q321" s="517"/>
      <c r="R321" s="517"/>
      <c r="S321" s="517"/>
      <c r="T321" s="517"/>
      <c r="U321" s="517"/>
      <c r="V321" s="517"/>
      <c r="W321" s="517"/>
      <c r="X321" s="517"/>
      <c r="Y321" s="517"/>
      <c r="Z321" s="517"/>
      <c r="AA321" s="517"/>
      <c r="AB321" s="517"/>
      <c r="AC321" s="517"/>
      <c r="AD321" s="517"/>
    </row>
    <row r="322" spans="3:30">
      <c r="C322" s="517"/>
      <c r="D322" s="517"/>
      <c r="E322" s="517"/>
      <c r="F322" s="517"/>
      <c r="G322" s="517"/>
      <c r="H322" s="517"/>
      <c r="I322" s="517"/>
      <c r="J322" s="517"/>
      <c r="K322" s="517"/>
      <c r="L322" s="517"/>
      <c r="M322" s="517"/>
      <c r="N322" s="517"/>
      <c r="O322" s="517"/>
      <c r="P322" s="517"/>
      <c r="Q322" s="517"/>
      <c r="R322" s="517"/>
      <c r="S322" s="517"/>
      <c r="T322" s="517"/>
      <c r="U322" s="517"/>
      <c r="V322" s="517"/>
      <c r="W322" s="517"/>
      <c r="X322" s="517"/>
      <c r="Y322" s="517"/>
      <c r="Z322" s="517"/>
      <c r="AA322" s="517"/>
      <c r="AB322" s="517"/>
      <c r="AC322" s="517"/>
      <c r="AD322" s="517"/>
    </row>
    <row r="323" spans="3:30">
      <c r="C323" s="517"/>
      <c r="D323" s="517"/>
      <c r="E323" s="517"/>
      <c r="F323" s="517"/>
      <c r="G323" s="517"/>
      <c r="H323" s="517"/>
      <c r="I323" s="517"/>
      <c r="J323" s="517"/>
      <c r="K323" s="517"/>
      <c r="L323" s="517"/>
      <c r="M323" s="517"/>
      <c r="N323" s="517"/>
      <c r="O323" s="517"/>
      <c r="P323" s="517"/>
      <c r="Q323" s="517"/>
      <c r="R323" s="517"/>
      <c r="S323" s="517"/>
      <c r="T323" s="517"/>
      <c r="U323" s="517"/>
      <c r="V323" s="517"/>
      <c r="W323" s="517"/>
      <c r="X323" s="517"/>
      <c r="Y323" s="517"/>
      <c r="Z323" s="517"/>
      <c r="AA323" s="517"/>
      <c r="AB323" s="517"/>
      <c r="AC323" s="517"/>
      <c r="AD323" s="517"/>
    </row>
    <row r="324" spans="3:30">
      <c r="C324" s="517"/>
      <c r="D324" s="517"/>
      <c r="E324" s="517"/>
      <c r="F324" s="517"/>
      <c r="G324" s="517"/>
      <c r="H324" s="517"/>
      <c r="I324" s="517"/>
      <c r="J324" s="517"/>
      <c r="K324" s="517"/>
      <c r="L324" s="517"/>
      <c r="M324" s="517"/>
      <c r="N324" s="517"/>
      <c r="O324" s="517"/>
      <c r="P324" s="517"/>
      <c r="Q324" s="517"/>
      <c r="R324" s="517"/>
      <c r="S324" s="517"/>
      <c r="T324" s="517"/>
      <c r="U324" s="517"/>
      <c r="V324" s="517"/>
      <c r="W324" s="517"/>
      <c r="X324" s="517"/>
      <c r="Y324" s="517"/>
      <c r="Z324" s="517"/>
      <c r="AA324" s="517"/>
      <c r="AB324" s="517"/>
      <c r="AC324" s="517"/>
      <c r="AD324" s="517"/>
    </row>
    <row r="325" spans="3:30">
      <c r="C325" s="517"/>
      <c r="D325" s="517"/>
      <c r="E325" s="517"/>
      <c r="F325" s="517"/>
      <c r="G325" s="517"/>
      <c r="H325" s="517"/>
      <c r="I325" s="517"/>
      <c r="J325" s="517"/>
      <c r="K325" s="517"/>
      <c r="L325" s="517"/>
      <c r="M325" s="517"/>
      <c r="N325" s="517"/>
      <c r="O325" s="517"/>
      <c r="P325" s="517"/>
      <c r="Q325" s="517"/>
      <c r="R325" s="517"/>
      <c r="S325" s="517"/>
      <c r="T325" s="517"/>
      <c r="U325" s="517"/>
      <c r="V325" s="517"/>
      <c r="W325" s="517"/>
      <c r="X325" s="517"/>
      <c r="Y325" s="517"/>
      <c r="Z325" s="517"/>
      <c r="AA325" s="517"/>
      <c r="AB325" s="517"/>
      <c r="AC325" s="517"/>
      <c r="AD325" s="517"/>
    </row>
    <row r="326" spans="3:30">
      <c r="C326" s="517"/>
      <c r="D326" s="517"/>
      <c r="E326" s="517"/>
      <c r="F326" s="517"/>
      <c r="G326" s="517"/>
      <c r="H326" s="517"/>
      <c r="I326" s="517"/>
      <c r="J326" s="517"/>
      <c r="K326" s="517"/>
      <c r="L326" s="517"/>
      <c r="M326" s="517"/>
      <c r="N326" s="517"/>
      <c r="O326" s="517"/>
      <c r="P326" s="517"/>
      <c r="Q326" s="517"/>
      <c r="R326" s="517"/>
      <c r="S326" s="517"/>
      <c r="T326" s="517"/>
      <c r="U326" s="517"/>
      <c r="V326" s="517"/>
      <c r="W326" s="517"/>
      <c r="X326" s="517"/>
      <c r="Y326" s="517"/>
      <c r="Z326" s="517"/>
      <c r="AA326" s="517"/>
      <c r="AB326" s="517"/>
      <c r="AC326" s="517"/>
      <c r="AD326" s="517"/>
    </row>
    <row r="327" spans="3:30">
      <c r="C327" s="517"/>
      <c r="D327" s="517"/>
      <c r="E327" s="517"/>
      <c r="F327" s="517"/>
      <c r="G327" s="517"/>
      <c r="H327" s="517"/>
      <c r="I327" s="517"/>
      <c r="J327" s="517"/>
      <c r="K327" s="517"/>
      <c r="L327" s="517"/>
      <c r="M327" s="517"/>
      <c r="N327" s="517"/>
      <c r="O327" s="517"/>
      <c r="P327" s="517"/>
      <c r="Q327" s="517"/>
      <c r="R327" s="517"/>
      <c r="S327" s="517"/>
      <c r="T327" s="517"/>
      <c r="U327" s="517"/>
      <c r="V327" s="517"/>
      <c r="W327" s="517"/>
      <c r="X327" s="517"/>
      <c r="Y327" s="517"/>
      <c r="Z327" s="517"/>
      <c r="AA327" s="517"/>
      <c r="AB327" s="517"/>
      <c r="AC327" s="517"/>
      <c r="AD327" s="517"/>
    </row>
    <row r="328" spans="3:30">
      <c r="C328" s="517"/>
      <c r="D328" s="517"/>
      <c r="E328" s="517"/>
      <c r="F328" s="517"/>
      <c r="G328" s="517"/>
      <c r="H328" s="517"/>
      <c r="I328" s="517"/>
      <c r="J328" s="517"/>
      <c r="K328" s="517"/>
      <c r="L328" s="517"/>
      <c r="M328" s="517"/>
      <c r="N328" s="517"/>
      <c r="O328" s="517"/>
      <c r="P328" s="517"/>
      <c r="Q328" s="517"/>
      <c r="R328" s="517"/>
      <c r="S328" s="517"/>
      <c r="T328" s="517"/>
      <c r="U328" s="517"/>
      <c r="V328" s="517"/>
      <c r="W328" s="517"/>
      <c r="X328" s="517"/>
      <c r="Y328" s="517"/>
      <c r="Z328" s="517"/>
      <c r="AA328" s="517"/>
      <c r="AB328" s="517"/>
      <c r="AC328" s="517"/>
      <c r="AD328" s="517"/>
    </row>
    <row r="329" spans="3:30">
      <c r="C329" s="517"/>
      <c r="D329" s="517"/>
      <c r="E329" s="517"/>
      <c r="F329" s="517"/>
      <c r="G329" s="517"/>
      <c r="H329" s="517"/>
      <c r="I329" s="517"/>
      <c r="J329" s="517"/>
      <c r="K329" s="517"/>
      <c r="L329" s="517"/>
      <c r="M329" s="517"/>
      <c r="N329" s="517"/>
      <c r="O329" s="517"/>
      <c r="P329" s="517"/>
      <c r="Q329" s="517"/>
      <c r="R329" s="517"/>
      <c r="S329" s="517"/>
      <c r="T329" s="517"/>
      <c r="U329" s="517"/>
      <c r="V329" s="517"/>
      <c r="W329" s="517"/>
      <c r="X329" s="517"/>
      <c r="Y329" s="517"/>
      <c r="Z329" s="517"/>
      <c r="AA329" s="517"/>
      <c r="AB329" s="517"/>
      <c r="AC329" s="517"/>
      <c r="AD329" s="517"/>
    </row>
    <row r="330" spans="3:30">
      <c r="C330" s="517"/>
      <c r="D330" s="517"/>
      <c r="E330" s="517"/>
      <c r="F330" s="517"/>
      <c r="G330" s="517"/>
      <c r="H330" s="517"/>
      <c r="I330" s="517"/>
      <c r="J330" s="517"/>
      <c r="K330" s="517"/>
      <c r="L330" s="517"/>
      <c r="M330" s="517"/>
      <c r="N330" s="517"/>
      <c r="O330" s="517"/>
      <c r="P330" s="517"/>
      <c r="Q330" s="517"/>
      <c r="R330" s="517"/>
      <c r="S330" s="517"/>
      <c r="T330" s="517"/>
      <c r="U330" s="517"/>
      <c r="V330" s="517"/>
      <c r="W330" s="517"/>
      <c r="X330" s="517"/>
      <c r="Y330" s="517"/>
      <c r="Z330" s="517"/>
      <c r="AA330" s="517"/>
      <c r="AB330" s="517"/>
      <c r="AC330" s="517"/>
      <c r="AD330" s="517"/>
    </row>
    <row r="331" spans="3:30">
      <c r="C331" s="517"/>
      <c r="D331" s="517"/>
      <c r="E331" s="517"/>
      <c r="F331" s="517"/>
      <c r="G331" s="517"/>
      <c r="H331" s="517"/>
      <c r="I331" s="517"/>
      <c r="J331" s="517"/>
      <c r="K331" s="517"/>
      <c r="L331" s="517"/>
      <c r="M331" s="517"/>
      <c r="N331" s="517"/>
      <c r="O331" s="517"/>
      <c r="P331" s="517"/>
      <c r="Q331" s="517"/>
      <c r="R331" s="517"/>
      <c r="S331" s="517"/>
      <c r="T331" s="517"/>
      <c r="U331" s="517"/>
      <c r="V331" s="517"/>
      <c r="W331" s="517"/>
      <c r="X331" s="517"/>
      <c r="Y331" s="517"/>
      <c r="Z331" s="517"/>
      <c r="AA331" s="517"/>
      <c r="AB331" s="517"/>
      <c r="AC331" s="517"/>
      <c r="AD331" s="517"/>
    </row>
    <row r="332" spans="3:30">
      <c r="C332" s="517"/>
      <c r="D332" s="517"/>
      <c r="E332" s="517"/>
      <c r="F332" s="517"/>
      <c r="G332" s="517"/>
      <c r="H332" s="517"/>
      <c r="I332" s="517"/>
      <c r="J332" s="517"/>
      <c r="K332" s="517"/>
      <c r="L332" s="517"/>
      <c r="M332" s="517"/>
      <c r="N332" s="517"/>
      <c r="O332" s="517"/>
      <c r="P332" s="517"/>
      <c r="Q332" s="517"/>
      <c r="R332" s="517"/>
      <c r="S332" s="517"/>
      <c r="T332" s="517"/>
      <c r="U332" s="517"/>
      <c r="V332" s="517"/>
      <c r="W332" s="517"/>
      <c r="X332" s="517"/>
      <c r="Y332" s="517"/>
      <c r="Z332" s="517"/>
      <c r="AA332" s="517"/>
      <c r="AB332" s="517"/>
      <c r="AC332" s="517"/>
      <c r="AD332" s="517"/>
    </row>
    <row r="333" spans="3:30">
      <c r="C333" s="517"/>
      <c r="D333" s="517"/>
      <c r="E333" s="517"/>
      <c r="F333" s="517"/>
      <c r="G333" s="517"/>
      <c r="H333" s="517"/>
      <c r="I333" s="517"/>
      <c r="J333" s="517"/>
      <c r="K333" s="517"/>
      <c r="L333" s="517"/>
      <c r="M333" s="517"/>
      <c r="N333" s="517"/>
      <c r="O333" s="517"/>
      <c r="P333" s="517"/>
      <c r="Q333" s="517"/>
      <c r="R333" s="517"/>
      <c r="S333" s="517"/>
      <c r="T333" s="517"/>
      <c r="U333" s="517"/>
      <c r="V333" s="517"/>
      <c r="W333" s="517"/>
      <c r="X333" s="517"/>
      <c r="Y333" s="517"/>
      <c r="Z333" s="517"/>
      <c r="AA333" s="517"/>
      <c r="AB333" s="517"/>
      <c r="AC333" s="517"/>
      <c r="AD333" s="517"/>
    </row>
    <row r="334" spans="3:30">
      <c r="C334" s="517"/>
      <c r="D334" s="517"/>
      <c r="E334" s="517"/>
      <c r="F334" s="517"/>
      <c r="G334" s="517"/>
      <c r="H334" s="517"/>
      <c r="I334" s="517"/>
      <c r="J334" s="517"/>
      <c r="K334" s="517"/>
      <c r="L334" s="517"/>
      <c r="M334" s="517"/>
      <c r="N334" s="517"/>
      <c r="O334" s="517"/>
      <c r="P334" s="517"/>
      <c r="Q334" s="517"/>
      <c r="R334" s="517"/>
      <c r="S334" s="517"/>
      <c r="T334" s="517"/>
      <c r="U334" s="517"/>
      <c r="V334" s="517"/>
      <c r="W334" s="517"/>
      <c r="X334" s="517"/>
      <c r="Y334" s="517"/>
      <c r="Z334" s="517"/>
      <c r="AA334" s="517"/>
      <c r="AB334" s="517"/>
      <c r="AC334" s="517"/>
      <c r="AD334" s="517"/>
    </row>
    <row r="335" spans="3:30">
      <c r="C335" s="517"/>
      <c r="D335" s="517"/>
      <c r="E335" s="517"/>
      <c r="F335" s="517"/>
      <c r="G335" s="517"/>
      <c r="H335" s="517"/>
      <c r="I335" s="517"/>
      <c r="J335" s="517"/>
      <c r="K335" s="517"/>
      <c r="L335" s="517"/>
      <c r="M335" s="517"/>
      <c r="N335" s="517"/>
      <c r="O335" s="517"/>
      <c r="P335" s="517"/>
      <c r="Q335" s="517"/>
      <c r="R335" s="517"/>
      <c r="S335" s="517"/>
      <c r="T335" s="517"/>
      <c r="U335" s="517"/>
      <c r="V335" s="517"/>
      <c r="W335" s="517"/>
      <c r="X335" s="517"/>
      <c r="Y335" s="517"/>
      <c r="Z335" s="517"/>
      <c r="AA335" s="517"/>
      <c r="AB335" s="517"/>
      <c r="AC335" s="517"/>
      <c r="AD335" s="517"/>
    </row>
    <row r="336" spans="3:30">
      <c r="C336" s="517"/>
      <c r="D336" s="517"/>
      <c r="E336" s="517"/>
      <c r="F336" s="517"/>
      <c r="G336" s="517"/>
      <c r="H336" s="517"/>
      <c r="I336" s="517"/>
      <c r="J336" s="517"/>
      <c r="K336" s="517"/>
      <c r="L336" s="517"/>
      <c r="M336" s="517"/>
      <c r="N336" s="517"/>
      <c r="O336" s="517"/>
      <c r="P336" s="517"/>
      <c r="Q336" s="517"/>
      <c r="R336" s="517"/>
      <c r="S336" s="517"/>
      <c r="T336" s="517"/>
      <c r="U336" s="517"/>
      <c r="V336" s="517"/>
      <c r="W336" s="517"/>
      <c r="X336" s="517"/>
      <c r="Y336" s="517"/>
      <c r="Z336" s="517"/>
      <c r="AA336" s="517"/>
      <c r="AB336" s="517"/>
      <c r="AC336" s="517"/>
      <c r="AD336" s="517"/>
    </row>
    <row r="337" spans="3:30">
      <c r="C337" s="517"/>
      <c r="D337" s="517"/>
      <c r="E337" s="517"/>
      <c r="F337" s="517"/>
      <c r="G337" s="517"/>
      <c r="H337" s="517"/>
      <c r="I337" s="517"/>
      <c r="J337" s="517"/>
      <c r="K337" s="517"/>
      <c r="L337" s="517"/>
      <c r="M337" s="517"/>
      <c r="N337" s="517"/>
      <c r="O337" s="517"/>
      <c r="P337" s="517"/>
      <c r="Q337" s="517"/>
      <c r="R337" s="517"/>
      <c r="S337" s="517"/>
      <c r="T337" s="517"/>
      <c r="U337" s="517"/>
      <c r="V337" s="517"/>
      <c r="W337" s="517"/>
      <c r="X337" s="517"/>
      <c r="Y337" s="517"/>
      <c r="Z337" s="517"/>
      <c r="AA337" s="517"/>
      <c r="AB337" s="517"/>
      <c r="AC337" s="517"/>
      <c r="AD337" s="517"/>
    </row>
    <row r="338" spans="3:30">
      <c r="C338" s="517"/>
      <c r="D338" s="517"/>
      <c r="E338" s="517"/>
      <c r="F338" s="517"/>
      <c r="G338" s="517"/>
      <c r="H338" s="517"/>
      <c r="I338" s="517"/>
      <c r="J338" s="517"/>
      <c r="K338" s="517"/>
      <c r="L338" s="517"/>
      <c r="M338" s="517"/>
      <c r="N338" s="517"/>
      <c r="O338" s="517"/>
      <c r="P338" s="517"/>
      <c r="Q338" s="517"/>
      <c r="R338" s="517"/>
      <c r="S338" s="517"/>
      <c r="T338" s="517"/>
      <c r="U338" s="517"/>
      <c r="V338" s="517"/>
      <c r="W338" s="517"/>
      <c r="X338" s="517"/>
      <c r="Y338" s="517"/>
      <c r="Z338" s="517"/>
      <c r="AA338" s="517"/>
      <c r="AB338" s="517"/>
      <c r="AC338" s="517"/>
      <c r="AD338" s="517"/>
    </row>
    <row r="339" spans="3:30">
      <c r="C339" s="517"/>
      <c r="D339" s="517"/>
      <c r="E339" s="517"/>
      <c r="F339" s="517"/>
      <c r="G339" s="517"/>
      <c r="H339" s="517"/>
      <c r="I339" s="517"/>
      <c r="J339" s="517"/>
      <c r="K339" s="517"/>
      <c r="L339" s="517"/>
      <c r="M339" s="517"/>
      <c r="N339" s="517"/>
      <c r="O339" s="517"/>
      <c r="P339" s="517"/>
      <c r="Q339" s="517"/>
      <c r="R339" s="517"/>
      <c r="S339" s="517"/>
      <c r="T339" s="517"/>
      <c r="U339" s="517"/>
      <c r="V339" s="517"/>
      <c r="W339" s="517"/>
      <c r="X339" s="517"/>
      <c r="Y339" s="517"/>
      <c r="Z339" s="517"/>
      <c r="AA339" s="517"/>
      <c r="AB339" s="517"/>
      <c r="AC339" s="517"/>
      <c r="AD339" s="517"/>
    </row>
    <row r="340" spans="3:30">
      <c r="C340" s="517"/>
      <c r="D340" s="517"/>
      <c r="E340" s="517"/>
      <c r="F340" s="517"/>
      <c r="G340" s="517"/>
      <c r="H340" s="517"/>
      <c r="I340" s="517"/>
      <c r="J340" s="517"/>
      <c r="K340" s="517"/>
      <c r="L340" s="517"/>
      <c r="M340" s="517"/>
      <c r="N340" s="517"/>
      <c r="O340" s="517"/>
      <c r="P340" s="517"/>
      <c r="Q340" s="517"/>
      <c r="R340" s="517"/>
      <c r="S340" s="517"/>
      <c r="T340" s="517"/>
      <c r="U340" s="517"/>
      <c r="V340" s="517"/>
      <c r="W340" s="517"/>
      <c r="X340" s="517"/>
      <c r="Y340" s="517"/>
      <c r="Z340" s="517"/>
      <c r="AA340" s="517"/>
      <c r="AB340" s="517"/>
      <c r="AC340" s="517"/>
      <c r="AD340" s="517"/>
    </row>
    <row r="341" spans="3:30">
      <c r="C341" s="517"/>
      <c r="D341" s="517"/>
      <c r="E341" s="517"/>
      <c r="F341" s="517"/>
      <c r="G341" s="517"/>
      <c r="H341" s="517"/>
      <c r="I341" s="517"/>
      <c r="J341" s="517"/>
      <c r="K341" s="517"/>
      <c r="L341" s="517"/>
      <c r="M341" s="517"/>
      <c r="N341" s="517"/>
      <c r="O341" s="517"/>
      <c r="P341" s="517"/>
      <c r="Q341" s="517"/>
      <c r="R341" s="517"/>
      <c r="S341" s="517"/>
      <c r="T341" s="517"/>
      <c r="U341" s="517"/>
      <c r="V341" s="517"/>
      <c r="W341" s="517"/>
      <c r="X341" s="517"/>
      <c r="Y341" s="517"/>
      <c r="Z341" s="517"/>
      <c r="AA341" s="517"/>
      <c r="AB341" s="517"/>
      <c r="AC341" s="517"/>
      <c r="AD341" s="517"/>
    </row>
    <row r="342" spans="3:30">
      <c r="C342" s="517"/>
      <c r="D342" s="517"/>
      <c r="E342" s="517"/>
      <c r="F342" s="517"/>
      <c r="G342" s="517"/>
      <c r="H342" s="517"/>
      <c r="I342" s="517"/>
      <c r="J342" s="517"/>
      <c r="K342" s="517"/>
      <c r="L342" s="517"/>
      <c r="M342" s="517"/>
      <c r="N342" s="517"/>
      <c r="O342" s="517"/>
      <c r="P342" s="517"/>
      <c r="Q342" s="517"/>
      <c r="R342" s="517"/>
      <c r="S342" s="517"/>
      <c r="T342" s="517"/>
      <c r="U342" s="517"/>
      <c r="V342" s="517"/>
      <c r="W342" s="517"/>
      <c r="X342" s="517"/>
      <c r="Y342" s="517"/>
      <c r="Z342" s="517"/>
      <c r="AA342" s="517"/>
      <c r="AB342" s="517"/>
      <c r="AC342" s="517"/>
      <c r="AD342" s="517"/>
    </row>
    <row r="343" spans="3:30">
      <c r="C343" s="517"/>
      <c r="D343" s="517"/>
      <c r="E343" s="517"/>
      <c r="F343" s="517"/>
      <c r="G343" s="517"/>
      <c r="H343" s="517"/>
      <c r="I343" s="517"/>
      <c r="J343" s="517"/>
      <c r="K343" s="517"/>
      <c r="L343" s="517"/>
      <c r="M343" s="517"/>
      <c r="N343" s="517"/>
      <c r="O343" s="517"/>
      <c r="P343" s="517"/>
      <c r="Q343" s="517"/>
      <c r="R343" s="517"/>
      <c r="S343" s="517"/>
      <c r="T343" s="517"/>
      <c r="U343" s="517"/>
      <c r="V343" s="517"/>
      <c r="W343" s="517"/>
      <c r="X343" s="517"/>
      <c r="Y343" s="517"/>
      <c r="Z343" s="517"/>
      <c r="AA343" s="517"/>
      <c r="AB343" s="517"/>
      <c r="AC343" s="517"/>
      <c r="AD343" s="517"/>
    </row>
    <row r="344" spans="3:30">
      <c r="C344" s="517"/>
      <c r="D344" s="517"/>
      <c r="E344" s="517"/>
      <c r="F344" s="517"/>
      <c r="G344" s="517"/>
      <c r="H344" s="517"/>
      <c r="I344" s="517"/>
      <c r="J344" s="517"/>
      <c r="K344" s="517"/>
      <c r="L344" s="517"/>
      <c r="M344" s="517"/>
      <c r="N344" s="517"/>
      <c r="O344" s="517"/>
      <c r="P344" s="517"/>
      <c r="Q344" s="517"/>
      <c r="R344" s="517"/>
      <c r="S344" s="517"/>
      <c r="T344" s="517"/>
      <c r="U344" s="517"/>
      <c r="V344" s="517"/>
      <c r="W344" s="517"/>
      <c r="X344" s="517"/>
      <c r="Y344" s="517"/>
      <c r="Z344" s="517"/>
      <c r="AA344" s="517"/>
      <c r="AB344" s="517"/>
      <c r="AC344" s="517"/>
      <c r="AD344" s="517"/>
    </row>
    <row r="345" spans="3:30">
      <c r="C345" s="517"/>
      <c r="D345" s="517"/>
      <c r="E345" s="517"/>
      <c r="F345" s="517"/>
      <c r="G345" s="517"/>
      <c r="H345" s="517"/>
      <c r="I345" s="517"/>
      <c r="J345" s="517"/>
      <c r="K345" s="517"/>
      <c r="L345" s="517"/>
      <c r="M345" s="517"/>
      <c r="N345" s="517"/>
      <c r="O345" s="517"/>
      <c r="P345" s="517"/>
      <c r="Q345" s="517"/>
      <c r="R345" s="517"/>
      <c r="S345" s="517"/>
      <c r="T345" s="517"/>
      <c r="U345" s="517"/>
      <c r="V345" s="517"/>
      <c r="W345" s="517"/>
      <c r="X345" s="517"/>
      <c r="Y345" s="517"/>
      <c r="Z345" s="517"/>
      <c r="AA345" s="517"/>
      <c r="AB345" s="517"/>
      <c r="AC345" s="517"/>
      <c r="AD345" s="517"/>
    </row>
    <row r="346" spans="3:30">
      <c r="C346" s="517"/>
      <c r="D346" s="517"/>
      <c r="E346" s="517"/>
      <c r="F346" s="517"/>
      <c r="G346" s="517"/>
      <c r="H346" s="517"/>
      <c r="I346" s="517"/>
      <c r="J346" s="517"/>
      <c r="K346" s="517"/>
      <c r="L346" s="517"/>
      <c r="M346" s="517"/>
      <c r="N346" s="517"/>
      <c r="O346" s="517"/>
      <c r="P346" s="517"/>
      <c r="Q346" s="517"/>
      <c r="R346" s="517"/>
      <c r="S346" s="517"/>
      <c r="T346" s="517"/>
      <c r="U346" s="517"/>
      <c r="V346" s="517"/>
      <c r="W346" s="517"/>
      <c r="X346" s="517"/>
      <c r="Y346" s="517"/>
      <c r="Z346" s="517"/>
      <c r="AA346" s="517"/>
      <c r="AB346" s="517"/>
      <c r="AC346" s="517"/>
      <c r="AD346" s="517"/>
    </row>
    <row r="347" spans="3:30">
      <c r="C347" s="517"/>
      <c r="D347" s="517"/>
      <c r="E347" s="517"/>
      <c r="F347" s="517"/>
      <c r="G347" s="517"/>
      <c r="H347" s="517"/>
      <c r="I347" s="517"/>
      <c r="J347" s="517"/>
      <c r="K347" s="517"/>
      <c r="L347" s="517"/>
      <c r="M347" s="517"/>
      <c r="N347" s="517"/>
      <c r="O347" s="517"/>
      <c r="P347" s="517"/>
      <c r="Q347" s="517"/>
      <c r="R347" s="517"/>
      <c r="S347" s="517"/>
      <c r="T347" s="517"/>
      <c r="U347" s="517"/>
      <c r="V347" s="517"/>
      <c r="W347" s="517"/>
      <c r="X347" s="517"/>
      <c r="Y347" s="517"/>
      <c r="Z347" s="517"/>
      <c r="AA347" s="517"/>
      <c r="AB347" s="517"/>
      <c r="AC347" s="517"/>
      <c r="AD347" s="517"/>
    </row>
    <row r="348" spans="3:30">
      <c r="C348" s="517"/>
      <c r="D348" s="517"/>
      <c r="E348" s="517"/>
      <c r="F348" s="517"/>
      <c r="G348" s="517"/>
      <c r="H348" s="517"/>
      <c r="I348" s="517"/>
      <c r="J348" s="517"/>
      <c r="K348" s="517"/>
      <c r="L348" s="517"/>
      <c r="M348" s="517"/>
      <c r="N348" s="517"/>
      <c r="O348" s="517"/>
      <c r="P348" s="517"/>
      <c r="Q348" s="517"/>
      <c r="R348" s="517"/>
      <c r="S348" s="517"/>
      <c r="T348" s="517"/>
      <c r="U348" s="517"/>
      <c r="V348" s="517"/>
      <c r="W348" s="517"/>
      <c r="X348" s="517"/>
      <c r="Y348" s="517"/>
      <c r="Z348" s="517"/>
      <c r="AA348" s="517"/>
      <c r="AB348" s="517"/>
      <c r="AC348" s="517"/>
      <c r="AD348" s="517"/>
    </row>
    <row r="349" spans="3:30">
      <c r="C349" s="517"/>
      <c r="D349" s="517"/>
      <c r="E349" s="517"/>
      <c r="F349" s="517"/>
      <c r="G349" s="517"/>
      <c r="H349" s="517"/>
      <c r="I349" s="517"/>
      <c r="J349" s="517"/>
      <c r="K349" s="517"/>
      <c r="L349" s="517"/>
      <c r="M349" s="517"/>
      <c r="N349" s="517"/>
      <c r="O349" s="517"/>
      <c r="P349" s="517"/>
      <c r="Q349" s="517"/>
      <c r="R349" s="517"/>
      <c r="S349" s="517"/>
      <c r="T349" s="517"/>
      <c r="U349" s="517"/>
      <c r="V349" s="517"/>
      <c r="W349" s="517"/>
      <c r="X349" s="517"/>
      <c r="Y349" s="517"/>
      <c r="Z349" s="517"/>
      <c r="AA349" s="517"/>
      <c r="AB349" s="517"/>
      <c r="AC349" s="517"/>
      <c r="AD349" s="517"/>
    </row>
    <row r="350" spans="3:30">
      <c r="C350" s="517"/>
      <c r="D350" s="517"/>
      <c r="E350" s="517"/>
      <c r="F350" s="517"/>
      <c r="G350" s="517"/>
      <c r="H350" s="517"/>
      <c r="I350" s="517"/>
      <c r="J350" s="517"/>
      <c r="K350" s="517"/>
      <c r="L350" s="517"/>
      <c r="M350" s="517"/>
      <c r="N350" s="517"/>
      <c r="O350" s="517"/>
      <c r="P350" s="517"/>
      <c r="Q350" s="517"/>
      <c r="R350" s="517"/>
      <c r="S350" s="517"/>
      <c r="T350" s="517"/>
      <c r="U350" s="517"/>
      <c r="V350" s="517"/>
      <c r="W350" s="517"/>
      <c r="X350" s="517"/>
      <c r="Y350" s="517"/>
      <c r="Z350" s="517"/>
      <c r="AA350" s="517"/>
      <c r="AB350" s="517"/>
      <c r="AC350" s="517"/>
      <c r="AD350" s="517"/>
    </row>
    <row r="351" spans="3:30">
      <c r="C351" s="517"/>
      <c r="D351" s="517"/>
      <c r="E351" s="517"/>
      <c r="F351" s="517"/>
      <c r="G351" s="517"/>
      <c r="H351" s="517"/>
      <c r="I351" s="517"/>
      <c r="J351" s="517"/>
      <c r="K351" s="517"/>
      <c r="L351" s="517"/>
      <c r="M351" s="517"/>
      <c r="N351" s="517"/>
      <c r="O351" s="517"/>
      <c r="P351" s="517"/>
      <c r="Q351" s="517"/>
      <c r="R351" s="517"/>
      <c r="S351" s="517"/>
      <c r="T351" s="517"/>
      <c r="U351" s="517"/>
      <c r="V351" s="517"/>
      <c r="W351" s="517"/>
      <c r="X351" s="517"/>
      <c r="Y351" s="517"/>
      <c r="Z351" s="517"/>
      <c r="AA351" s="517"/>
      <c r="AB351" s="517"/>
      <c r="AC351" s="517"/>
      <c r="AD351" s="517"/>
    </row>
    <row r="352" spans="3:30">
      <c r="C352" s="517"/>
      <c r="D352" s="517"/>
      <c r="E352" s="517"/>
      <c r="F352" s="517"/>
      <c r="G352" s="517"/>
      <c r="H352" s="517"/>
      <c r="I352" s="517"/>
      <c r="J352" s="517"/>
      <c r="K352" s="517"/>
      <c r="L352" s="517"/>
      <c r="M352" s="517"/>
      <c r="N352" s="517"/>
      <c r="O352" s="517"/>
      <c r="P352" s="517"/>
      <c r="Q352" s="517"/>
      <c r="R352" s="517"/>
      <c r="S352" s="517"/>
      <c r="T352" s="517"/>
      <c r="U352" s="517"/>
      <c r="V352" s="517"/>
      <c r="W352" s="517"/>
      <c r="X352" s="517"/>
      <c r="Y352" s="517"/>
      <c r="Z352" s="517"/>
      <c r="AA352" s="517"/>
      <c r="AB352" s="517"/>
      <c r="AC352" s="517"/>
      <c r="AD352" s="517"/>
    </row>
    <row r="353" spans="3:30">
      <c r="C353" s="517"/>
      <c r="D353" s="517"/>
      <c r="E353" s="517"/>
      <c r="F353" s="517"/>
      <c r="G353" s="517"/>
      <c r="H353" s="517"/>
      <c r="I353" s="517"/>
      <c r="J353" s="517"/>
      <c r="K353" s="517"/>
      <c r="L353" s="517"/>
      <c r="M353" s="517"/>
      <c r="N353" s="517"/>
      <c r="O353" s="517"/>
      <c r="P353" s="517"/>
      <c r="Q353" s="517"/>
      <c r="R353" s="517"/>
      <c r="S353" s="517"/>
      <c r="T353" s="517"/>
      <c r="U353" s="517"/>
      <c r="V353" s="517"/>
      <c r="W353" s="517"/>
      <c r="X353" s="517"/>
      <c r="Y353" s="517"/>
      <c r="Z353" s="517"/>
      <c r="AA353" s="517"/>
      <c r="AB353" s="517"/>
      <c r="AC353" s="517"/>
      <c r="AD353" s="517"/>
    </row>
    <row r="354" spans="3:30">
      <c r="C354" s="517"/>
      <c r="D354" s="517"/>
      <c r="E354" s="517"/>
      <c r="F354" s="517"/>
      <c r="G354" s="517"/>
      <c r="H354" s="517"/>
      <c r="I354" s="517"/>
      <c r="J354" s="517"/>
      <c r="K354" s="517"/>
      <c r="L354" s="517"/>
      <c r="M354" s="517"/>
      <c r="N354" s="517"/>
      <c r="O354" s="517"/>
      <c r="P354" s="517"/>
      <c r="Q354" s="517"/>
      <c r="R354" s="517"/>
      <c r="S354" s="517"/>
      <c r="T354" s="517"/>
      <c r="U354" s="517"/>
      <c r="V354" s="517"/>
      <c r="W354" s="517"/>
      <c r="X354" s="517"/>
      <c r="Y354" s="517"/>
      <c r="Z354" s="517"/>
      <c r="AA354" s="517"/>
      <c r="AB354" s="517"/>
      <c r="AC354" s="517"/>
      <c r="AD354" s="517"/>
    </row>
    <row r="355" spans="3:30">
      <c r="C355" s="517"/>
      <c r="D355" s="517"/>
      <c r="E355" s="517"/>
      <c r="F355" s="517"/>
      <c r="G355" s="517"/>
      <c r="H355" s="517"/>
      <c r="I355" s="517"/>
      <c r="J355" s="517"/>
      <c r="K355" s="517"/>
      <c r="L355" s="517"/>
      <c r="M355" s="517"/>
      <c r="N355" s="517"/>
      <c r="O355" s="517"/>
      <c r="P355" s="517"/>
      <c r="Q355" s="517"/>
      <c r="R355" s="517"/>
      <c r="S355" s="517"/>
      <c r="T355" s="517"/>
      <c r="U355" s="517"/>
      <c r="V355" s="517"/>
      <c r="W355" s="517"/>
      <c r="X355" s="517"/>
      <c r="Y355" s="517"/>
      <c r="Z355" s="517"/>
      <c r="AA355" s="517"/>
      <c r="AB355" s="517"/>
      <c r="AC355" s="517"/>
      <c r="AD355" s="517"/>
    </row>
    <row r="356" spans="3:30">
      <c r="C356" s="517"/>
      <c r="D356" s="517"/>
      <c r="E356" s="517"/>
      <c r="F356" s="517"/>
      <c r="G356" s="517"/>
      <c r="H356" s="517"/>
      <c r="I356" s="517"/>
      <c r="J356" s="517"/>
      <c r="K356" s="517"/>
      <c r="L356" s="517"/>
      <c r="M356" s="517"/>
      <c r="N356" s="517"/>
      <c r="O356" s="517"/>
      <c r="P356" s="517"/>
      <c r="Q356" s="517"/>
      <c r="R356" s="517"/>
      <c r="S356" s="517"/>
      <c r="T356" s="517"/>
      <c r="U356" s="517"/>
      <c r="V356" s="517"/>
      <c r="W356" s="517"/>
      <c r="X356" s="517"/>
      <c r="Y356" s="517"/>
      <c r="Z356" s="517"/>
      <c r="AA356" s="517"/>
      <c r="AB356" s="517"/>
      <c r="AC356" s="517"/>
      <c r="AD356" s="517"/>
    </row>
    <row r="357" spans="3:30">
      <c r="C357" s="517"/>
      <c r="D357" s="517"/>
      <c r="E357" s="517"/>
      <c r="F357" s="517"/>
      <c r="G357" s="517"/>
      <c r="H357" s="517"/>
      <c r="I357" s="517"/>
      <c r="J357" s="517"/>
      <c r="K357" s="517"/>
      <c r="L357" s="517"/>
      <c r="M357" s="517"/>
      <c r="N357" s="517"/>
      <c r="O357" s="517"/>
      <c r="P357" s="517"/>
      <c r="Q357" s="517"/>
      <c r="R357" s="517"/>
      <c r="S357" s="517"/>
      <c r="T357" s="517"/>
      <c r="U357" s="517"/>
      <c r="V357" s="517"/>
      <c r="W357" s="517"/>
      <c r="X357" s="517"/>
      <c r="Y357" s="517"/>
      <c r="Z357" s="517"/>
      <c r="AA357" s="517"/>
      <c r="AB357" s="517"/>
      <c r="AC357" s="517"/>
      <c r="AD357" s="517"/>
    </row>
    <row r="358" spans="3:30">
      <c r="C358" s="517"/>
      <c r="D358" s="517"/>
      <c r="E358" s="517"/>
      <c r="F358" s="517"/>
      <c r="G358" s="517"/>
      <c r="H358" s="517"/>
      <c r="I358" s="517"/>
      <c r="J358" s="517"/>
      <c r="K358" s="517"/>
      <c r="L358" s="517"/>
      <c r="M358" s="517"/>
      <c r="N358" s="517"/>
      <c r="O358" s="517"/>
      <c r="P358" s="517"/>
      <c r="Q358" s="517"/>
      <c r="R358" s="517"/>
      <c r="S358" s="517"/>
      <c r="T358" s="517"/>
      <c r="U358" s="517"/>
      <c r="V358" s="517"/>
      <c r="W358" s="517"/>
      <c r="X358" s="517"/>
      <c r="Y358" s="517"/>
      <c r="Z358" s="517"/>
      <c r="AA358" s="517"/>
      <c r="AB358" s="517"/>
      <c r="AC358" s="517"/>
      <c r="AD358" s="517"/>
    </row>
    <row r="359" spans="3:30">
      <c r="C359" s="517"/>
      <c r="D359" s="517"/>
      <c r="E359" s="517"/>
      <c r="F359" s="517"/>
      <c r="G359" s="517"/>
      <c r="H359" s="517"/>
      <c r="I359" s="517"/>
      <c r="J359" s="517"/>
      <c r="K359" s="517"/>
      <c r="L359" s="517"/>
      <c r="M359" s="517"/>
      <c r="N359" s="517"/>
      <c r="O359" s="517"/>
      <c r="P359" s="517"/>
      <c r="Q359" s="517"/>
      <c r="R359" s="517"/>
      <c r="S359" s="517"/>
      <c r="T359" s="517"/>
      <c r="U359" s="517"/>
      <c r="V359" s="517"/>
      <c r="W359" s="517"/>
      <c r="X359" s="517"/>
      <c r="Y359" s="517"/>
      <c r="Z359" s="517"/>
      <c r="AA359" s="517"/>
      <c r="AB359" s="517"/>
      <c r="AC359" s="517"/>
      <c r="AD359" s="517"/>
    </row>
    <row r="360" spans="3:30">
      <c r="C360" s="517"/>
      <c r="D360" s="517"/>
      <c r="E360" s="517"/>
      <c r="F360" s="517"/>
      <c r="G360" s="517"/>
      <c r="H360" s="517"/>
      <c r="I360" s="517"/>
      <c r="J360" s="517"/>
      <c r="K360" s="517"/>
      <c r="L360" s="517"/>
      <c r="M360" s="517"/>
      <c r="N360" s="517"/>
      <c r="O360" s="517"/>
      <c r="P360" s="517"/>
      <c r="Q360" s="517"/>
      <c r="R360" s="517"/>
      <c r="S360" s="517"/>
      <c r="T360" s="517"/>
      <c r="U360" s="517"/>
      <c r="V360" s="517"/>
      <c r="W360" s="517"/>
      <c r="X360" s="517"/>
      <c r="Y360" s="517"/>
      <c r="Z360" s="517"/>
      <c r="AA360" s="517"/>
      <c r="AB360" s="517"/>
      <c r="AC360" s="517"/>
      <c r="AD360" s="517"/>
    </row>
    <row r="361" spans="3:30">
      <c r="C361" s="517"/>
      <c r="D361" s="517"/>
      <c r="E361" s="517"/>
      <c r="F361" s="517"/>
      <c r="G361" s="517"/>
      <c r="H361" s="517"/>
      <c r="I361" s="517"/>
      <c r="J361" s="517"/>
      <c r="K361" s="517"/>
      <c r="L361" s="517"/>
      <c r="M361" s="517"/>
      <c r="N361" s="517"/>
      <c r="O361" s="517"/>
      <c r="P361" s="517"/>
      <c r="Q361" s="517"/>
      <c r="R361" s="517"/>
      <c r="S361" s="517"/>
      <c r="T361" s="517"/>
      <c r="U361" s="517"/>
      <c r="V361" s="517"/>
      <c r="W361" s="517"/>
      <c r="X361" s="517"/>
      <c r="Y361" s="517"/>
      <c r="Z361" s="517"/>
      <c r="AA361" s="517"/>
      <c r="AB361" s="517"/>
      <c r="AC361" s="517"/>
      <c r="AD361" s="517"/>
    </row>
    <row r="362" spans="3:30">
      <c r="C362" s="517"/>
      <c r="D362" s="517"/>
      <c r="E362" s="517"/>
      <c r="F362" s="517"/>
      <c r="G362" s="517"/>
      <c r="H362" s="517"/>
      <c r="I362" s="517"/>
      <c r="J362" s="517"/>
      <c r="K362" s="517"/>
      <c r="L362" s="517"/>
      <c r="M362" s="517"/>
      <c r="N362" s="517"/>
      <c r="O362" s="517"/>
      <c r="P362" s="517"/>
      <c r="Q362" s="517"/>
      <c r="R362" s="517"/>
      <c r="S362" s="517"/>
      <c r="T362" s="517"/>
      <c r="U362" s="517"/>
      <c r="V362" s="517"/>
      <c r="W362" s="517"/>
      <c r="X362" s="517"/>
      <c r="Y362" s="517"/>
      <c r="Z362" s="517"/>
      <c r="AA362" s="517"/>
      <c r="AB362" s="517"/>
      <c r="AC362" s="517"/>
      <c r="AD362" s="517"/>
    </row>
    <row r="363" spans="3:30">
      <c r="C363" s="517"/>
      <c r="D363" s="517"/>
      <c r="E363" s="517"/>
      <c r="F363" s="517"/>
      <c r="G363" s="517"/>
      <c r="H363" s="517"/>
      <c r="I363" s="517"/>
      <c r="J363" s="517"/>
      <c r="K363" s="517"/>
      <c r="L363" s="517"/>
      <c r="M363" s="517"/>
      <c r="N363" s="517"/>
      <c r="O363" s="517"/>
      <c r="P363" s="517"/>
      <c r="Q363" s="517"/>
      <c r="R363" s="517"/>
      <c r="S363" s="517"/>
      <c r="T363" s="517"/>
      <c r="U363" s="517"/>
      <c r="V363" s="517"/>
      <c r="W363" s="517"/>
      <c r="X363" s="517"/>
      <c r="Y363" s="517"/>
      <c r="Z363" s="517"/>
      <c r="AA363" s="517"/>
      <c r="AB363" s="517"/>
      <c r="AC363" s="517"/>
      <c r="AD363" s="517"/>
    </row>
    <row r="364" spans="3:30">
      <c r="C364" s="517"/>
      <c r="D364" s="517"/>
      <c r="E364" s="517"/>
      <c r="F364" s="517"/>
      <c r="G364" s="517"/>
      <c r="H364" s="517"/>
      <c r="I364" s="517"/>
      <c r="J364" s="517"/>
      <c r="K364" s="517"/>
      <c r="L364" s="517"/>
      <c r="M364" s="517"/>
      <c r="N364" s="517"/>
      <c r="O364" s="517"/>
      <c r="P364" s="517"/>
      <c r="Q364" s="517"/>
      <c r="R364" s="517"/>
      <c r="S364" s="517"/>
      <c r="T364" s="517"/>
      <c r="U364" s="517"/>
      <c r="V364" s="517"/>
      <c r="W364" s="517"/>
      <c r="X364" s="517"/>
      <c r="Y364" s="517"/>
      <c r="Z364" s="517"/>
      <c r="AA364" s="517"/>
      <c r="AB364" s="517"/>
      <c r="AC364" s="517"/>
      <c r="AD364" s="517"/>
    </row>
    <row r="365" spans="3:30">
      <c r="C365" s="517"/>
      <c r="D365" s="517"/>
      <c r="E365" s="517"/>
      <c r="F365" s="517"/>
      <c r="G365" s="517"/>
      <c r="H365" s="517"/>
      <c r="I365" s="517"/>
      <c r="J365" s="517"/>
      <c r="K365" s="517"/>
      <c r="L365" s="517"/>
      <c r="M365" s="517"/>
      <c r="N365" s="517"/>
      <c r="O365" s="517"/>
      <c r="P365" s="517"/>
      <c r="Q365" s="517"/>
      <c r="R365" s="517"/>
      <c r="S365" s="517"/>
      <c r="T365" s="517"/>
      <c r="U365" s="517"/>
      <c r="V365" s="517"/>
      <c r="W365" s="517"/>
      <c r="X365" s="517"/>
      <c r="Y365" s="517"/>
      <c r="Z365" s="517"/>
      <c r="AA365" s="517"/>
      <c r="AB365" s="517"/>
      <c r="AC365" s="517"/>
      <c r="AD365" s="517"/>
    </row>
    <row r="366" spans="3:30">
      <c r="C366" s="517"/>
      <c r="D366" s="517"/>
      <c r="E366" s="517"/>
      <c r="F366" s="517"/>
      <c r="G366" s="517"/>
      <c r="H366" s="517"/>
      <c r="I366" s="517"/>
      <c r="J366" s="517"/>
      <c r="K366" s="517"/>
      <c r="L366" s="517"/>
      <c r="M366" s="517"/>
      <c r="N366" s="517"/>
      <c r="O366" s="517"/>
      <c r="P366" s="517"/>
      <c r="Q366" s="517"/>
      <c r="R366" s="517"/>
      <c r="S366" s="517"/>
      <c r="T366" s="517"/>
      <c r="U366" s="517"/>
      <c r="V366" s="517"/>
      <c r="W366" s="517"/>
      <c r="X366" s="517"/>
      <c r="Y366" s="517"/>
      <c r="Z366" s="517"/>
      <c r="AA366" s="517"/>
      <c r="AB366" s="517"/>
      <c r="AC366" s="517"/>
      <c r="AD366" s="517"/>
    </row>
    <row r="367" spans="3:30">
      <c r="C367" s="517"/>
      <c r="D367" s="517"/>
      <c r="E367" s="517"/>
      <c r="F367" s="517"/>
      <c r="G367" s="517"/>
      <c r="H367" s="517"/>
      <c r="I367" s="517"/>
      <c r="J367" s="517"/>
      <c r="K367" s="517"/>
      <c r="L367" s="517"/>
      <c r="M367" s="517"/>
      <c r="N367" s="517"/>
      <c r="O367" s="517"/>
      <c r="P367" s="517"/>
      <c r="Q367" s="517"/>
      <c r="R367" s="517"/>
      <c r="S367" s="517"/>
      <c r="T367" s="517"/>
      <c r="U367" s="517"/>
      <c r="V367" s="517"/>
      <c r="W367" s="517"/>
      <c r="X367" s="517"/>
      <c r="Y367" s="517"/>
      <c r="Z367" s="517"/>
      <c r="AA367" s="517"/>
      <c r="AB367" s="517"/>
      <c r="AC367" s="517"/>
      <c r="AD367" s="517"/>
    </row>
    <row r="368" spans="3:30">
      <c r="C368" s="517"/>
      <c r="D368" s="517"/>
      <c r="E368" s="517"/>
      <c r="F368" s="517"/>
      <c r="G368" s="517"/>
      <c r="H368" s="517"/>
      <c r="I368" s="517"/>
      <c r="J368" s="517"/>
      <c r="K368" s="517"/>
      <c r="L368" s="517"/>
      <c r="M368" s="517"/>
      <c r="N368" s="517"/>
      <c r="O368" s="517"/>
      <c r="P368" s="517"/>
      <c r="Q368" s="517"/>
      <c r="R368" s="517"/>
      <c r="S368" s="517"/>
      <c r="T368" s="517"/>
      <c r="U368" s="517"/>
      <c r="V368" s="517"/>
      <c r="W368" s="517"/>
      <c r="X368" s="517"/>
      <c r="Y368" s="517"/>
      <c r="Z368" s="517"/>
      <c r="AA368" s="517"/>
      <c r="AB368" s="517"/>
      <c r="AC368" s="517"/>
      <c r="AD368" s="517"/>
    </row>
  </sheetData>
  <mergeCells count="12">
    <mergeCell ref="A44:B44"/>
    <mergeCell ref="C7:F7"/>
    <mergeCell ref="G7:J7"/>
    <mergeCell ref="K7:N7"/>
    <mergeCell ref="O7:R7"/>
    <mergeCell ref="W7:Z7"/>
    <mergeCell ref="S7:V7"/>
    <mergeCell ref="A1:AD1"/>
    <mergeCell ref="A2:AD2"/>
    <mergeCell ref="A3:AD3"/>
    <mergeCell ref="A4:AD4"/>
    <mergeCell ref="AA7:AD7"/>
  </mergeCells>
  <phoneticPr fontId="19" type="noConversion"/>
  <pageMargins left="0.39370078740157483" right="0" top="0.98425196850393704" bottom="0.98425196850393704" header="0" footer="0"/>
  <pageSetup paperSize="5" scale="69" orientation="landscape" horizontalDpi="300" verticalDpi="3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38"/>
  <sheetViews>
    <sheetView topLeftCell="A4" zoomScale="75" workbookViewId="0">
      <selection activeCell="C31" sqref="C31"/>
    </sheetView>
  </sheetViews>
  <sheetFormatPr baseColWidth="10" defaultRowHeight="12.75"/>
  <cols>
    <col min="2" max="2" width="21.85546875" customWidth="1"/>
    <col min="3" max="21" width="4.7109375" customWidth="1"/>
    <col min="22" max="29" width="6" customWidth="1"/>
  </cols>
  <sheetData>
    <row r="1" spans="1:21" ht="18" customHeight="1">
      <c r="A1" s="33" t="s">
        <v>484</v>
      </c>
      <c r="B1" s="1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</row>
    <row r="4" spans="1:21" ht="88.5" customHeight="1">
      <c r="B4" s="41" t="s">
        <v>485</v>
      </c>
      <c r="C4" s="42" t="s">
        <v>486</v>
      </c>
      <c r="D4" s="42" t="s">
        <v>473</v>
      </c>
      <c r="E4" s="42" t="s">
        <v>477</v>
      </c>
      <c r="F4" s="42" t="s">
        <v>480</v>
      </c>
      <c r="G4" s="42" t="s">
        <v>475</v>
      </c>
      <c r="H4" s="42" t="s">
        <v>483</v>
      </c>
      <c r="I4" s="42" t="s">
        <v>487</v>
      </c>
      <c r="J4" s="42" t="s">
        <v>488</v>
      </c>
      <c r="K4" s="42" t="s">
        <v>730</v>
      </c>
      <c r="L4" s="42" t="s">
        <v>465</v>
      </c>
      <c r="M4" s="42" t="s">
        <v>446</v>
      </c>
      <c r="N4" s="42" t="s">
        <v>489</v>
      </c>
      <c r="O4" s="42" t="s">
        <v>490</v>
      </c>
      <c r="P4" s="42" t="s">
        <v>463</v>
      </c>
      <c r="Q4" s="42" t="s">
        <v>468</v>
      </c>
      <c r="R4" s="42" t="s">
        <v>491</v>
      </c>
      <c r="S4" s="42" t="s">
        <v>492</v>
      </c>
      <c r="T4" s="42" t="s">
        <v>470</v>
      </c>
      <c r="U4" s="43" t="s">
        <v>493</v>
      </c>
    </row>
    <row r="5" spans="1:21">
      <c r="B5" s="38" t="s">
        <v>486</v>
      </c>
      <c r="C5" s="35">
        <v>0</v>
      </c>
      <c r="D5" s="14"/>
      <c r="E5" s="14"/>
      <c r="F5" s="14"/>
      <c r="G5" s="14"/>
      <c r="H5" s="14"/>
      <c r="I5" s="14"/>
      <c r="J5" s="14"/>
      <c r="K5" s="14"/>
      <c r="L5" s="14"/>
      <c r="M5" s="14"/>
      <c r="N5" s="14"/>
      <c r="O5" s="14"/>
      <c r="P5" s="14"/>
      <c r="Q5" s="14"/>
      <c r="R5" s="14"/>
      <c r="S5" s="14"/>
      <c r="T5" s="14"/>
      <c r="U5" s="12"/>
    </row>
    <row r="6" spans="1:21">
      <c r="B6" s="38" t="s">
        <v>473</v>
      </c>
      <c r="C6" s="34">
        <v>1</v>
      </c>
      <c r="D6" s="35">
        <v>0</v>
      </c>
      <c r="E6" s="14"/>
      <c r="F6" s="14"/>
      <c r="G6" s="14"/>
      <c r="H6" s="14"/>
      <c r="I6" s="14"/>
      <c r="J6" s="14"/>
      <c r="K6" s="14"/>
      <c r="L6" s="14"/>
      <c r="M6" s="14"/>
      <c r="N6" s="14"/>
      <c r="O6" s="14"/>
      <c r="P6" s="14"/>
      <c r="Q6" s="14"/>
      <c r="R6" s="14"/>
      <c r="S6" s="14"/>
      <c r="T6" s="14"/>
      <c r="U6" s="15"/>
    </row>
    <row r="7" spans="1:21">
      <c r="B7" s="38" t="s">
        <v>711</v>
      </c>
      <c r="C7" s="34"/>
      <c r="D7" s="35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5"/>
    </row>
    <row r="8" spans="1:21">
      <c r="B8" s="38" t="s">
        <v>477</v>
      </c>
      <c r="C8" s="34">
        <v>0</v>
      </c>
      <c r="D8" s="34">
        <v>1</v>
      </c>
      <c r="E8" s="35">
        <v>0</v>
      </c>
      <c r="F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5"/>
    </row>
    <row r="9" spans="1:21">
      <c r="B9" s="38" t="s">
        <v>472</v>
      </c>
      <c r="C9" s="34">
        <v>30</v>
      </c>
      <c r="D9" s="34">
        <v>31</v>
      </c>
      <c r="E9" s="34">
        <v>30</v>
      </c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5"/>
    </row>
    <row r="10" spans="1:21">
      <c r="B10" s="38" t="s">
        <v>480</v>
      </c>
      <c r="C10" s="34">
        <v>5</v>
      </c>
      <c r="D10" s="34">
        <v>6</v>
      </c>
      <c r="E10" s="34">
        <v>5</v>
      </c>
      <c r="F10" s="35">
        <v>0</v>
      </c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5"/>
    </row>
    <row r="11" spans="1:21">
      <c r="B11" s="38" t="s">
        <v>710</v>
      </c>
      <c r="C11" s="34">
        <v>13</v>
      </c>
      <c r="D11" s="34">
        <v>14</v>
      </c>
      <c r="E11" s="34">
        <v>13</v>
      </c>
      <c r="F11" s="34">
        <v>8</v>
      </c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5"/>
    </row>
    <row r="12" spans="1:21">
      <c r="B12" s="38" t="s">
        <v>479</v>
      </c>
      <c r="C12" s="34">
        <v>9</v>
      </c>
      <c r="D12" s="34">
        <v>10</v>
      </c>
      <c r="E12" s="34">
        <v>9</v>
      </c>
      <c r="F12" s="34">
        <v>4</v>
      </c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5"/>
    </row>
    <row r="13" spans="1:21">
      <c r="B13" s="38" t="s">
        <v>481</v>
      </c>
      <c r="C13" s="34">
        <v>20</v>
      </c>
      <c r="D13" s="34">
        <v>21</v>
      </c>
      <c r="E13" s="34">
        <v>20</v>
      </c>
      <c r="F13" s="34">
        <v>15</v>
      </c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5"/>
    </row>
    <row r="14" spans="1:21">
      <c r="B14" s="38" t="s">
        <v>482</v>
      </c>
      <c r="C14" s="34">
        <v>34</v>
      </c>
      <c r="D14" s="34">
        <v>35</v>
      </c>
      <c r="E14" s="34">
        <v>34</v>
      </c>
      <c r="F14" s="34">
        <v>29</v>
      </c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5"/>
    </row>
    <row r="15" spans="1:21">
      <c r="B15" s="38" t="s">
        <v>475</v>
      </c>
      <c r="C15" s="34">
        <v>4</v>
      </c>
      <c r="D15" s="34">
        <v>3</v>
      </c>
      <c r="E15" s="34">
        <v>4</v>
      </c>
      <c r="F15" s="34">
        <v>9</v>
      </c>
      <c r="G15" s="35">
        <v>0</v>
      </c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5"/>
    </row>
    <row r="16" spans="1:21">
      <c r="B16" s="38" t="s">
        <v>474</v>
      </c>
      <c r="C16" s="34">
        <v>7</v>
      </c>
      <c r="D16" s="34">
        <v>6</v>
      </c>
      <c r="E16" s="34">
        <v>7</v>
      </c>
      <c r="F16" s="34">
        <v>8</v>
      </c>
      <c r="G16" s="34">
        <v>3</v>
      </c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5"/>
    </row>
    <row r="17" spans="2:21">
      <c r="B17" s="38" t="s">
        <v>483</v>
      </c>
      <c r="C17" s="34">
        <v>12</v>
      </c>
      <c r="D17" s="34">
        <v>11</v>
      </c>
      <c r="E17" s="34">
        <v>12</v>
      </c>
      <c r="F17" s="34">
        <v>17</v>
      </c>
      <c r="G17" s="34">
        <v>4</v>
      </c>
      <c r="H17" s="35">
        <v>0</v>
      </c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5"/>
    </row>
    <row r="18" spans="2:21">
      <c r="B18" s="38" t="s">
        <v>487</v>
      </c>
      <c r="C18" s="34">
        <v>16</v>
      </c>
      <c r="D18" s="34">
        <v>17</v>
      </c>
      <c r="E18" s="34">
        <v>16</v>
      </c>
      <c r="F18" s="34">
        <v>18</v>
      </c>
      <c r="G18" s="34">
        <v>20</v>
      </c>
      <c r="H18" s="34">
        <v>12</v>
      </c>
      <c r="I18" s="35">
        <v>0</v>
      </c>
      <c r="J18" s="14"/>
      <c r="K18" s="14"/>
      <c r="L18" s="14"/>
      <c r="M18" s="14"/>
      <c r="N18" s="14"/>
      <c r="O18" s="14"/>
      <c r="P18" s="14"/>
      <c r="Q18" s="14"/>
      <c r="R18" s="14"/>
      <c r="S18" s="14"/>
      <c r="T18" s="14"/>
      <c r="U18" s="15"/>
    </row>
    <row r="19" spans="2:21">
      <c r="B19" s="38" t="s">
        <v>488</v>
      </c>
      <c r="C19" s="34">
        <v>16</v>
      </c>
      <c r="D19" s="34">
        <v>17</v>
      </c>
      <c r="E19" s="34">
        <v>17</v>
      </c>
      <c r="F19" s="34">
        <v>18</v>
      </c>
      <c r="G19" s="34">
        <v>19</v>
      </c>
      <c r="H19" s="34">
        <v>11</v>
      </c>
      <c r="I19" s="34">
        <v>1</v>
      </c>
      <c r="J19" s="237">
        <v>0</v>
      </c>
      <c r="K19" s="14"/>
      <c r="L19" s="14"/>
      <c r="M19" s="14"/>
      <c r="N19" s="14"/>
      <c r="O19" s="14"/>
      <c r="P19" s="14"/>
      <c r="Q19" s="14"/>
      <c r="R19" s="14"/>
      <c r="S19" s="14"/>
      <c r="T19" s="14"/>
      <c r="U19" s="15"/>
    </row>
    <row r="20" spans="2:21">
      <c r="B20" s="38" t="s">
        <v>730</v>
      </c>
      <c r="C20" s="34">
        <v>16</v>
      </c>
      <c r="D20" s="34">
        <v>17</v>
      </c>
      <c r="E20" s="34">
        <v>17</v>
      </c>
      <c r="F20" s="34">
        <v>18</v>
      </c>
      <c r="G20" s="34">
        <v>19</v>
      </c>
      <c r="H20" s="34">
        <v>11</v>
      </c>
      <c r="I20" s="34">
        <v>1</v>
      </c>
      <c r="J20" s="237">
        <v>1</v>
      </c>
      <c r="K20" s="237">
        <v>0</v>
      </c>
      <c r="L20" s="14"/>
      <c r="M20" s="14"/>
      <c r="N20" s="14"/>
      <c r="O20" s="14"/>
      <c r="P20" s="14"/>
      <c r="Q20" s="14"/>
      <c r="R20" s="14"/>
      <c r="S20" s="14"/>
      <c r="T20" s="14"/>
      <c r="U20" s="15"/>
    </row>
    <row r="21" spans="2:21">
      <c r="B21" s="38" t="s">
        <v>465</v>
      </c>
      <c r="C21" s="34">
        <v>10</v>
      </c>
      <c r="D21" s="34">
        <v>11</v>
      </c>
      <c r="E21" s="34">
        <v>10</v>
      </c>
      <c r="F21" s="34">
        <v>15</v>
      </c>
      <c r="G21" s="34">
        <v>13</v>
      </c>
      <c r="H21" s="34">
        <v>5</v>
      </c>
      <c r="I21" s="34">
        <v>6</v>
      </c>
      <c r="J21" s="238">
        <v>5</v>
      </c>
      <c r="K21" s="238">
        <v>5</v>
      </c>
      <c r="L21" s="35">
        <v>0</v>
      </c>
      <c r="M21" s="14"/>
      <c r="N21" s="14"/>
      <c r="O21" s="14"/>
      <c r="P21" s="14"/>
      <c r="Q21" s="14"/>
      <c r="R21" s="14"/>
      <c r="S21" s="14"/>
      <c r="T21" s="14"/>
      <c r="U21" s="15"/>
    </row>
    <row r="22" spans="2:21">
      <c r="B22" s="38" t="s">
        <v>844</v>
      </c>
      <c r="C22" s="34"/>
      <c r="D22" s="34"/>
      <c r="E22" s="34"/>
      <c r="F22" s="34"/>
      <c r="G22" s="34"/>
      <c r="H22" s="34"/>
      <c r="I22" s="34"/>
      <c r="J22" s="238"/>
      <c r="K22" s="238"/>
      <c r="L22" s="35"/>
      <c r="M22" s="35"/>
      <c r="N22" s="14"/>
      <c r="O22" s="14"/>
      <c r="P22" s="14"/>
      <c r="Q22" s="14"/>
      <c r="R22" s="14"/>
      <c r="S22" s="14"/>
      <c r="T22" s="14"/>
      <c r="U22" s="15"/>
    </row>
    <row r="23" spans="2:21">
      <c r="B23" s="38" t="s">
        <v>446</v>
      </c>
      <c r="C23" s="34">
        <v>32</v>
      </c>
      <c r="D23" s="34">
        <v>33</v>
      </c>
      <c r="E23" s="34">
        <v>32</v>
      </c>
      <c r="F23" s="34">
        <v>34</v>
      </c>
      <c r="G23" s="34">
        <v>37</v>
      </c>
      <c r="H23" s="34">
        <v>28</v>
      </c>
      <c r="I23" s="34">
        <v>16</v>
      </c>
      <c r="J23" s="238">
        <v>17</v>
      </c>
      <c r="K23" s="238">
        <v>17</v>
      </c>
      <c r="L23" s="34">
        <v>20</v>
      </c>
      <c r="M23" s="35">
        <v>0</v>
      </c>
      <c r="N23" s="14"/>
      <c r="O23" s="14"/>
      <c r="P23" s="14"/>
      <c r="Q23" s="14"/>
      <c r="R23" s="14"/>
      <c r="S23" s="14"/>
      <c r="T23" s="14"/>
      <c r="U23" s="15"/>
    </row>
    <row r="24" spans="2:21">
      <c r="B24" s="38" t="s">
        <v>489</v>
      </c>
      <c r="C24" s="34">
        <v>30</v>
      </c>
      <c r="D24" s="34">
        <v>31</v>
      </c>
      <c r="E24" s="34">
        <v>30</v>
      </c>
      <c r="F24" s="34">
        <v>32</v>
      </c>
      <c r="G24" s="34">
        <v>35</v>
      </c>
      <c r="H24" s="34">
        <v>26</v>
      </c>
      <c r="I24" s="34">
        <v>14</v>
      </c>
      <c r="J24" s="238">
        <v>15</v>
      </c>
      <c r="K24" s="238">
        <v>15</v>
      </c>
      <c r="L24" s="34">
        <v>20</v>
      </c>
      <c r="M24" s="34">
        <v>2</v>
      </c>
      <c r="N24" s="35">
        <v>0</v>
      </c>
      <c r="O24" s="14"/>
      <c r="P24" s="14"/>
      <c r="Q24" s="14"/>
      <c r="R24" s="14"/>
      <c r="S24" s="14"/>
      <c r="T24" s="14"/>
      <c r="U24" s="15"/>
    </row>
    <row r="25" spans="2:21">
      <c r="B25" s="38" t="s">
        <v>490</v>
      </c>
      <c r="C25" s="34">
        <v>30</v>
      </c>
      <c r="D25" s="34">
        <v>31</v>
      </c>
      <c r="E25" s="34">
        <v>30</v>
      </c>
      <c r="F25" s="34">
        <v>32</v>
      </c>
      <c r="G25" s="34">
        <v>35</v>
      </c>
      <c r="H25" s="34">
        <v>21</v>
      </c>
      <c r="I25" s="34">
        <v>14</v>
      </c>
      <c r="J25" s="238">
        <v>15</v>
      </c>
      <c r="K25" s="238">
        <v>15</v>
      </c>
      <c r="L25" s="34">
        <v>20</v>
      </c>
      <c r="M25" s="34">
        <v>2</v>
      </c>
      <c r="N25" s="34">
        <v>0</v>
      </c>
      <c r="O25" s="35">
        <v>0</v>
      </c>
      <c r="P25" s="14"/>
      <c r="Q25" s="14"/>
      <c r="R25" s="14"/>
      <c r="S25" s="14"/>
      <c r="T25" s="14"/>
      <c r="U25" s="15"/>
    </row>
    <row r="26" spans="2:21">
      <c r="B26" s="38" t="s">
        <v>458</v>
      </c>
      <c r="C26" s="34">
        <v>40</v>
      </c>
      <c r="D26" s="34">
        <v>41</v>
      </c>
      <c r="E26" s="34">
        <v>40</v>
      </c>
      <c r="F26" s="34">
        <v>42</v>
      </c>
      <c r="G26" s="34">
        <v>45</v>
      </c>
      <c r="H26" s="34">
        <v>38</v>
      </c>
      <c r="I26" s="34">
        <v>24</v>
      </c>
      <c r="J26" s="238">
        <v>25</v>
      </c>
      <c r="K26" s="238">
        <v>25</v>
      </c>
      <c r="L26" s="34">
        <v>30</v>
      </c>
      <c r="M26" s="34">
        <v>12</v>
      </c>
      <c r="N26" s="34">
        <v>10</v>
      </c>
      <c r="O26" s="34">
        <v>10</v>
      </c>
      <c r="P26" s="14"/>
      <c r="Q26" s="14"/>
      <c r="R26" s="14"/>
      <c r="S26" s="14"/>
      <c r="T26" s="14"/>
      <c r="U26" s="15"/>
    </row>
    <row r="27" spans="2:21">
      <c r="B27" s="38" t="s">
        <v>459</v>
      </c>
      <c r="C27" s="34">
        <v>38</v>
      </c>
      <c r="D27" s="34">
        <v>39</v>
      </c>
      <c r="E27" s="34">
        <v>38</v>
      </c>
      <c r="F27" s="34">
        <v>40</v>
      </c>
      <c r="G27" s="34">
        <v>45</v>
      </c>
      <c r="H27" s="34">
        <v>36</v>
      </c>
      <c r="I27" s="34">
        <v>22</v>
      </c>
      <c r="J27" s="238">
        <v>22</v>
      </c>
      <c r="K27" s="238">
        <v>22</v>
      </c>
      <c r="L27" s="34">
        <v>28</v>
      </c>
      <c r="M27" s="34">
        <v>10</v>
      </c>
      <c r="N27" s="34">
        <v>8</v>
      </c>
      <c r="O27" s="34">
        <v>8</v>
      </c>
      <c r="P27" s="14"/>
      <c r="Q27" s="14"/>
      <c r="R27" s="14"/>
      <c r="S27" s="14"/>
      <c r="T27" s="14"/>
      <c r="U27" s="15"/>
    </row>
    <row r="28" spans="2:21">
      <c r="B28" s="38" t="s">
        <v>460</v>
      </c>
      <c r="C28" s="34">
        <v>26</v>
      </c>
      <c r="D28" s="34">
        <v>27</v>
      </c>
      <c r="E28" s="34">
        <v>26</v>
      </c>
      <c r="F28" s="34">
        <v>28</v>
      </c>
      <c r="G28" s="34">
        <v>30</v>
      </c>
      <c r="H28" s="34">
        <v>25</v>
      </c>
      <c r="I28" s="34">
        <v>6</v>
      </c>
      <c r="J28" s="238">
        <v>10</v>
      </c>
      <c r="K28" s="238">
        <v>9</v>
      </c>
      <c r="L28" s="34">
        <v>12</v>
      </c>
      <c r="M28" s="34">
        <v>12</v>
      </c>
      <c r="N28" s="34">
        <v>10</v>
      </c>
      <c r="O28" s="34">
        <v>10</v>
      </c>
      <c r="P28" s="14"/>
      <c r="Q28" s="14"/>
      <c r="R28" s="14"/>
      <c r="S28" s="14"/>
      <c r="T28" s="14"/>
      <c r="U28" s="15"/>
    </row>
    <row r="29" spans="2:21">
      <c r="B29" s="38" t="s">
        <v>494</v>
      </c>
      <c r="C29" s="34">
        <v>26</v>
      </c>
      <c r="D29" s="34">
        <v>27</v>
      </c>
      <c r="E29" s="34">
        <v>26</v>
      </c>
      <c r="F29" s="34">
        <v>28</v>
      </c>
      <c r="G29" s="34">
        <v>30</v>
      </c>
      <c r="H29" s="34">
        <v>25</v>
      </c>
      <c r="I29" s="34">
        <v>10</v>
      </c>
      <c r="J29" s="238">
        <v>11</v>
      </c>
      <c r="K29" s="238">
        <v>11</v>
      </c>
      <c r="L29" s="34">
        <v>16</v>
      </c>
      <c r="M29" s="34">
        <v>14</v>
      </c>
      <c r="N29" s="34">
        <v>12</v>
      </c>
      <c r="O29" s="34">
        <v>12</v>
      </c>
      <c r="P29" s="14"/>
      <c r="Q29" s="14"/>
      <c r="R29" s="14"/>
      <c r="S29" s="14"/>
      <c r="T29" s="14"/>
      <c r="U29" s="15"/>
    </row>
    <row r="30" spans="2:21">
      <c r="B30" s="38" t="s">
        <v>463</v>
      </c>
      <c r="C30" s="34">
        <v>10</v>
      </c>
      <c r="D30" s="34">
        <v>11</v>
      </c>
      <c r="E30" s="34">
        <v>10</v>
      </c>
      <c r="F30" s="34">
        <v>7</v>
      </c>
      <c r="G30" s="34">
        <v>14</v>
      </c>
      <c r="H30" s="34">
        <v>19</v>
      </c>
      <c r="I30" s="34">
        <v>9</v>
      </c>
      <c r="J30" s="238">
        <v>10</v>
      </c>
      <c r="K30" s="238">
        <v>10</v>
      </c>
      <c r="L30" s="34">
        <v>15</v>
      </c>
      <c r="M30" s="34">
        <v>25</v>
      </c>
      <c r="N30" s="34">
        <v>23</v>
      </c>
      <c r="O30" s="34">
        <v>23</v>
      </c>
      <c r="P30" s="35">
        <v>0</v>
      </c>
      <c r="Q30" s="14"/>
      <c r="R30" s="14"/>
      <c r="S30" s="14"/>
      <c r="T30" s="14"/>
      <c r="U30" s="15"/>
    </row>
    <row r="31" spans="2:21">
      <c r="B31" s="38" t="s">
        <v>712</v>
      </c>
      <c r="C31" s="34"/>
      <c r="D31" s="34"/>
      <c r="E31" s="34"/>
      <c r="F31" s="34"/>
      <c r="G31" s="34"/>
      <c r="H31" s="34"/>
      <c r="I31" s="34"/>
      <c r="J31" s="238"/>
      <c r="K31" s="238"/>
      <c r="L31" s="34"/>
      <c r="M31" s="34"/>
      <c r="N31" s="34"/>
      <c r="O31" s="34"/>
      <c r="P31" s="35"/>
      <c r="Q31" s="14"/>
      <c r="R31" s="14"/>
      <c r="S31" s="14"/>
      <c r="T31" s="14"/>
      <c r="U31" s="15"/>
    </row>
    <row r="32" spans="2:21">
      <c r="B32" s="38" t="s">
        <v>462</v>
      </c>
      <c r="C32" s="34">
        <v>20</v>
      </c>
      <c r="D32" s="34">
        <v>21</v>
      </c>
      <c r="E32" s="34">
        <v>20</v>
      </c>
      <c r="F32" s="34">
        <v>17</v>
      </c>
      <c r="G32" s="34">
        <v>27</v>
      </c>
      <c r="H32" s="34">
        <v>29</v>
      </c>
      <c r="I32" s="34">
        <v>19</v>
      </c>
      <c r="J32" s="238">
        <v>20</v>
      </c>
      <c r="K32" s="238">
        <v>20</v>
      </c>
      <c r="L32" s="34">
        <v>24</v>
      </c>
      <c r="M32" s="34">
        <v>34</v>
      </c>
      <c r="N32" s="34">
        <v>32</v>
      </c>
      <c r="O32" s="34">
        <v>32</v>
      </c>
      <c r="P32" s="34">
        <v>10</v>
      </c>
      <c r="Q32" s="14"/>
      <c r="R32" s="14"/>
      <c r="S32" s="14"/>
      <c r="T32" s="14"/>
      <c r="U32" s="15"/>
    </row>
    <row r="33" spans="2:21">
      <c r="B33" s="38" t="s">
        <v>468</v>
      </c>
      <c r="C33" s="34">
        <v>28</v>
      </c>
      <c r="D33" s="34">
        <v>29</v>
      </c>
      <c r="E33" s="34">
        <v>28</v>
      </c>
      <c r="F33" s="34">
        <v>30</v>
      </c>
      <c r="G33" s="34">
        <v>32</v>
      </c>
      <c r="H33" s="34">
        <v>24</v>
      </c>
      <c r="I33" s="34">
        <v>13</v>
      </c>
      <c r="J33" s="238">
        <v>12</v>
      </c>
      <c r="K33" s="238">
        <v>12</v>
      </c>
      <c r="L33" s="34">
        <v>15</v>
      </c>
      <c r="M33" s="34">
        <v>28</v>
      </c>
      <c r="N33" s="34">
        <v>26</v>
      </c>
      <c r="O33" s="34">
        <v>26</v>
      </c>
      <c r="P33" s="34">
        <v>20</v>
      </c>
      <c r="Q33" s="35">
        <v>0</v>
      </c>
      <c r="R33" s="14"/>
      <c r="S33" s="14"/>
      <c r="T33" s="14"/>
      <c r="U33" s="15"/>
    </row>
    <row r="34" spans="2:21">
      <c r="B34" s="38" t="s">
        <v>491</v>
      </c>
      <c r="C34" s="34">
        <v>46</v>
      </c>
      <c r="D34" s="34">
        <v>47</v>
      </c>
      <c r="E34" s="34">
        <v>46</v>
      </c>
      <c r="F34" s="34">
        <v>48</v>
      </c>
      <c r="G34" s="34">
        <v>50</v>
      </c>
      <c r="H34" s="34">
        <v>42</v>
      </c>
      <c r="I34" s="34">
        <v>30</v>
      </c>
      <c r="J34" s="238">
        <v>29</v>
      </c>
      <c r="K34" s="238">
        <v>29</v>
      </c>
      <c r="L34" s="34">
        <v>33</v>
      </c>
      <c r="M34" s="34">
        <v>46</v>
      </c>
      <c r="N34" s="34">
        <v>44</v>
      </c>
      <c r="O34" s="34">
        <v>44</v>
      </c>
      <c r="P34" s="34">
        <v>39</v>
      </c>
      <c r="Q34" s="34">
        <v>18</v>
      </c>
      <c r="R34" s="35">
        <v>0</v>
      </c>
      <c r="S34" s="14"/>
      <c r="T34" s="14"/>
      <c r="U34" s="15"/>
    </row>
    <row r="35" spans="2:21">
      <c r="B35" s="38" t="s">
        <v>492</v>
      </c>
      <c r="C35" s="34">
        <v>46</v>
      </c>
      <c r="D35" s="34">
        <v>49</v>
      </c>
      <c r="E35" s="34">
        <v>46</v>
      </c>
      <c r="F35" s="34">
        <v>48</v>
      </c>
      <c r="G35" s="34">
        <v>50</v>
      </c>
      <c r="H35" s="34">
        <v>42</v>
      </c>
      <c r="I35" s="34">
        <v>30</v>
      </c>
      <c r="J35" s="238">
        <v>29</v>
      </c>
      <c r="K35" s="238">
        <v>29</v>
      </c>
      <c r="L35" s="34">
        <v>33</v>
      </c>
      <c r="M35" s="34">
        <v>46</v>
      </c>
      <c r="N35" s="34">
        <v>44</v>
      </c>
      <c r="O35" s="34">
        <v>44</v>
      </c>
      <c r="P35" s="34">
        <v>39</v>
      </c>
      <c r="Q35" s="34">
        <v>18</v>
      </c>
      <c r="R35" s="34">
        <v>0</v>
      </c>
      <c r="S35" s="35">
        <v>0</v>
      </c>
      <c r="T35" s="14"/>
      <c r="U35" s="15"/>
    </row>
    <row r="36" spans="2:21">
      <c r="B36" s="38" t="s">
        <v>470</v>
      </c>
      <c r="C36" s="34">
        <v>38</v>
      </c>
      <c r="D36" s="34">
        <v>39</v>
      </c>
      <c r="E36" s="34">
        <v>38</v>
      </c>
      <c r="F36" s="34">
        <v>46</v>
      </c>
      <c r="G36" s="34">
        <v>48</v>
      </c>
      <c r="H36" s="34">
        <v>40</v>
      </c>
      <c r="I36" s="34">
        <v>27</v>
      </c>
      <c r="J36" s="238">
        <v>26</v>
      </c>
      <c r="K36" s="238">
        <v>26</v>
      </c>
      <c r="L36" s="34">
        <v>30</v>
      </c>
      <c r="M36" s="34">
        <v>44</v>
      </c>
      <c r="N36" s="34">
        <v>46</v>
      </c>
      <c r="O36" s="34">
        <v>46</v>
      </c>
      <c r="P36" s="34">
        <v>34</v>
      </c>
      <c r="Q36" s="34">
        <v>14</v>
      </c>
      <c r="R36" s="34">
        <v>8</v>
      </c>
      <c r="S36" s="34">
        <v>8</v>
      </c>
      <c r="T36" s="35">
        <v>0</v>
      </c>
      <c r="U36" s="15"/>
    </row>
    <row r="37" spans="2:21">
      <c r="B37" s="39" t="s">
        <v>713</v>
      </c>
      <c r="C37" s="36">
        <v>51</v>
      </c>
      <c r="D37" s="36">
        <v>52</v>
      </c>
      <c r="E37" s="36">
        <v>51</v>
      </c>
      <c r="F37" s="36">
        <v>59</v>
      </c>
      <c r="G37" s="36">
        <v>61</v>
      </c>
      <c r="H37" s="36">
        <v>53</v>
      </c>
      <c r="I37" s="36">
        <v>41</v>
      </c>
      <c r="J37" s="239">
        <v>40</v>
      </c>
      <c r="K37" s="239">
        <v>40</v>
      </c>
      <c r="L37" s="36">
        <v>45</v>
      </c>
      <c r="M37" s="36">
        <v>57</v>
      </c>
      <c r="N37" s="36">
        <v>55</v>
      </c>
      <c r="O37" s="36">
        <v>55</v>
      </c>
      <c r="P37" s="36">
        <v>50</v>
      </c>
      <c r="Q37" s="36">
        <v>28</v>
      </c>
      <c r="R37" s="36">
        <v>21</v>
      </c>
      <c r="S37" s="36">
        <v>21</v>
      </c>
      <c r="T37" s="36">
        <v>13</v>
      </c>
      <c r="U37" s="15"/>
    </row>
    <row r="38" spans="2:21">
      <c r="B38" s="40" t="s">
        <v>493</v>
      </c>
      <c r="C38" s="36">
        <v>143</v>
      </c>
      <c r="D38" s="36">
        <v>144</v>
      </c>
      <c r="E38" s="36">
        <v>143</v>
      </c>
      <c r="F38" s="36">
        <v>145</v>
      </c>
      <c r="G38" s="36">
        <v>147</v>
      </c>
      <c r="H38" s="36">
        <v>136</v>
      </c>
      <c r="I38" s="36">
        <v>127</v>
      </c>
      <c r="J38" s="239">
        <v>126</v>
      </c>
      <c r="K38" s="239">
        <v>126</v>
      </c>
      <c r="L38" s="36">
        <v>133</v>
      </c>
      <c r="M38" s="36">
        <v>143</v>
      </c>
      <c r="N38" s="36">
        <v>141</v>
      </c>
      <c r="O38" s="36">
        <v>141</v>
      </c>
      <c r="P38" s="36">
        <v>136</v>
      </c>
      <c r="Q38" s="36">
        <v>114</v>
      </c>
      <c r="R38" s="36">
        <v>100</v>
      </c>
      <c r="S38" s="36">
        <v>100</v>
      </c>
      <c r="T38" s="36">
        <v>108</v>
      </c>
      <c r="U38" s="37">
        <v>0</v>
      </c>
    </row>
  </sheetData>
  <phoneticPr fontId="0" type="noConversion"/>
  <pageMargins left="1.5748031496062993" right="0.78740157480314965" top="0.48" bottom="0.68" header="0.51181102362204722" footer="0.51181102362204722"/>
  <pageSetup paperSize="9" scale="95" orientation="landscape" horizontalDpi="300" verticalDpi="300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A54"/>
  <sheetViews>
    <sheetView topLeftCell="R40" workbookViewId="0">
      <selection activeCell="AD44" sqref="AD44"/>
    </sheetView>
  </sheetViews>
  <sheetFormatPr baseColWidth="10" defaultRowHeight="12"/>
  <cols>
    <col min="1" max="1" width="12.28515625" style="406" customWidth="1"/>
    <col min="2" max="2" width="15.7109375" style="406" customWidth="1"/>
    <col min="3" max="34" width="7.140625" style="406" customWidth="1"/>
    <col min="35" max="16384" width="11.42578125" style="406"/>
  </cols>
  <sheetData>
    <row r="1" spans="1:31">
      <c r="A1" s="1225" t="s">
        <v>1014</v>
      </c>
      <c r="B1" s="1225"/>
      <c r="C1" s="1225"/>
      <c r="D1" s="1225"/>
      <c r="E1" s="1225"/>
      <c r="F1" s="1225"/>
      <c r="G1" s="1225"/>
      <c r="H1" s="1225"/>
      <c r="I1" s="1225"/>
      <c r="J1" s="1225"/>
      <c r="K1" s="1225"/>
      <c r="L1" s="1225"/>
      <c r="M1" s="1225"/>
      <c r="N1" s="1225"/>
      <c r="O1" s="1225"/>
      <c r="P1" s="1225"/>
      <c r="Q1" s="1225"/>
      <c r="R1" s="1225"/>
      <c r="S1" s="1225"/>
      <c r="T1" s="1225"/>
      <c r="U1" s="1225"/>
      <c r="V1" s="1225"/>
      <c r="W1" s="1225"/>
      <c r="X1" s="1225"/>
      <c r="Y1" s="1225"/>
      <c r="Z1" s="1225"/>
      <c r="AA1" s="1225"/>
      <c r="AB1" s="1225"/>
      <c r="AC1" s="1225"/>
      <c r="AD1" s="1225"/>
    </row>
    <row r="2" spans="1:31">
      <c r="A2" s="1225" t="s">
        <v>1032</v>
      </c>
      <c r="B2" s="1225"/>
      <c r="C2" s="1225"/>
      <c r="D2" s="1225"/>
      <c r="E2" s="1225"/>
      <c r="F2" s="1225"/>
      <c r="G2" s="1225"/>
      <c r="H2" s="1225"/>
      <c r="I2" s="1225"/>
      <c r="J2" s="1225"/>
      <c r="K2" s="1225"/>
      <c r="L2" s="1225"/>
      <c r="M2" s="1225"/>
      <c r="N2" s="1225"/>
      <c r="O2" s="1225"/>
      <c r="P2" s="1225"/>
      <c r="Q2" s="1225"/>
      <c r="R2" s="1225"/>
      <c r="S2" s="1225"/>
      <c r="T2" s="1225"/>
      <c r="U2" s="1225"/>
      <c r="V2" s="1225"/>
      <c r="W2" s="1225"/>
      <c r="X2" s="1225"/>
      <c r="Y2" s="1225"/>
      <c r="Z2" s="1225"/>
      <c r="AA2" s="1225"/>
      <c r="AB2" s="1225"/>
      <c r="AC2" s="1225"/>
      <c r="AD2" s="1225"/>
    </row>
    <row r="3" spans="1:31">
      <c r="A3" s="1225" t="s">
        <v>970</v>
      </c>
      <c r="B3" s="1225"/>
      <c r="C3" s="1225"/>
      <c r="D3" s="1225"/>
      <c r="E3" s="1225"/>
      <c r="F3" s="1225"/>
      <c r="G3" s="1225"/>
      <c r="H3" s="1225"/>
      <c r="I3" s="1225"/>
      <c r="J3" s="1225"/>
      <c r="K3" s="1225"/>
      <c r="L3" s="1225"/>
      <c r="M3" s="1225"/>
      <c r="N3" s="1225"/>
      <c r="O3" s="1225"/>
      <c r="P3" s="1225"/>
      <c r="Q3" s="1225"/>
      <c r="R3" s="1225"/>
      <c r="S3" s="1225"/>
      <c r="T3" s="1225"/>
      <c r="U3" s="1225"/>
      <c r="V3" s="1225"/>
      <c r="W3" s="1225"/>
      <c r="X3" s="1225"/>
      <c r="Y3" s="1225"/>
      <c r="Z3" s="1225"/>
      <c r="AA3" s="1225"/>
      <c r="AB3" s="1225"/>
      <c r="AC3" s="1225"/>
      <c r="AD3" s="1225"/>
    </row>
    <row r="4" spans="1:31">
      <c r="A4" s="1225" t="str">
        <f>+'53'!A4:AD4</f>
        <v>2011 - 2014</v>
      </c>
      <c r="B4" s="1225"/>
      <c r="C4" s="1225"/>
      <c r="D4" s="1225"/>
      <c r="E4" s="1225"/>
      <c r="F4" s="1225"/>
      <c r="G4" s="1225"/>
      <c r="H4" s="1225"/>
      <c r="I4" s="1225"/>
      <c r="J4" s="1225"/>
      <c r="K4" s="1225"/>
      <c r="L4" s="1225"/>
      <c r="M4" s="1225"/>
      <c r="N4" s="1225"/>
      <c r="O4" s="1225"/>
      <c r="P4" s="1225"/>
      <c r="Q4" s="1225"/>
      <c r="R4" s="1225"/>
      <c r="S4" s="1225"/>
      <c r="T4" s="1225"/>
      <c r="U4" s="1225"/>
      <c r="V4" s="1225"/>
      <c r="W4" s="1225"/>
      <c r="X4" s="1225"/>
      <c r="Y4" s="1225"/>
      <c r="Z4" s="1225"/>
      <c r="AA4" s="1225"/>
      <c r="AB4" s="1225"/>
      <c r="AC4" s="1225"/>
      <c r="AD4" s="1225"/>
    </row>
    <row r="7" spans="1:31" s="515" customFormat="1" ht="22.5" customHeight="1">
      <c r="A7" s="473" t="s">
        <v>590</v>
      </c>
      <c r="B7" s="514" t="s">
        <v>926</v>
      </c>
      <c r="C7" s="1220" t="s">
        <v>1016</v>
      </c>
      <c r="D7" s="1221"/>
      <c r="E7" s="1221"/>
      <c r="F7" s="1222"/>
      <c r="G7" s="1221" t="s">
        <v>1017</v>
      </c>
      <c r="H7" s="1221"/>
      <c r="I7" s="1221"/>
      <c r="J7" s="1221"/>
      <c r="K7" s="1220" t="s">
        <v>1018</v>
      </c>
      <c r="L7" s="1221"/>
      <c r="M7" s="1221"/>
      <c r="N7" s="1222"/>
      <c r="O7" s="1221" t="s">
        <v>1019</v>
      </c>
      <c r="P7" s="1221"/>
      <c r="Q7" s="1221"/>
      <c r="R7" s="1221"/>
      <c r="S7" s="1220" t="s">
        <v>1020</v>
      </c>
      <c r="T7" s="1221"/>
      <c r="U7" s="1221"/>
      <c r="V7" s="1222"/>
      <c r="W7" s="1221" t="s">
        <v>1021</v>
      </c>
      <c r="X7" s="1221"/>
      <c r="Y7" s="1221"/>
      <c r="Z7" s="1221"/>
      <c r="AA7" s="1220" t="s">
        <v>706</v>
      </c>
      <c r="AB7" s="1221"/>
      <c r="AC7" s="1221"/>
      <c r="AD7" s="1222"/>
    </row>
    <row r="8" spans="1:31" s="515" customFormat="1" ht="22.5" customHeight="1">
      <c r="A8" s="495"/>
      <c r="B8" s="495"/>
      <c r="C8" s="496">
        <f>+'50'!C8</f>
        <v>2011</v>
      </c>
      <c r="D8" s="497">
        <f>+'50'!D8</f>
        <v>2012</v>
      </c>
      <c r="E8" s="497">
        <f>+'50'!E8</f>
        <v>2013</v>
      </c>
      <c r="F8" s="498">
        <f>+'50'!F8</f>
        <v>2014</v>
      </c>
      <c r="G8" s="496">
        <f>+'50'!G8</f>
        <v>2011</v>
      </c>
      <c r="H8" s="497">
        <f>+'50'!H8</f>
        <v>2012</v>
      </c>
      <c r="I8" s="497">
        <f>+'50'!I8</f>
        <v>2013</v>
      </c>
      <c r="J8" s="498">
        <f>+'50'!J8</f>
        <v>2014</v>
      </c>
      <c r="K8" s="497">
        <f>+'50'!K8</f>
        <v>2011</v>
      </c>
      <c r="L8" s="497">
        <f>+'50'!L8</f>
        <v>2012</v>
      </c>
      <c r="M8" s="497">
        <f>+'50'!M8</f>
        <v>2013</v>
      </c>
      <c r="N8" s="497">
        <f>+'50'!N8</f>
        <v>2014</v>
      </c>
      <c r="O8" s="496">
        <f>+'50'!O8</f>
        <v>2011</v>
      </c>
      <c r="P8" s="497">
        <f>+'50'!P8</f>
        <v>2012</v>
      </c>
      <c r="Q8" s="497">
        <f>+'50'!Q8</f>
        <v>2013</v>
      </c>
      <c r="R8" s="498">
        <f>+'50'!R8</f>
        <v>2014</v>
      </c>
      <c r="S8" s="497">
        <f>+'50'!S8</f>
        <v>2011</v>
      </c>
      <c r="T8" s="497">
        <f>+'50'!T8</f>
        <v>2012</v>
      </c>
      <c r="U8" s="497">
        <f>+'50'!U8</f>
        <v>2013</v>
      </c>
      <c r="V8" s="498">
        <f>+'50'!V8</f>
        <v>2014</v>
      </c>
      <c r="W8" s="496">
        <f>+'50'!W8</f>
        <v>2011</v>
      </c>
      <c r="X8" s="497">
        <f>+'50'!X8</f>
        <v>2012</v>
      </c>
      <c r="Y8" s="497">
        <f>+'50'!Y8</f>
        <v>2013</v>
      </c>
      <c r="Z8" s="498">
        <f>+'50'!Z8</f>
        <v>2014</v>
      </c>
      <c r="AA8" s="496">
        <f>+'50'!AA8</f>
        <v>2011</v>
      </c>
      <c r="AB8" s="497">
        <f>+'50'!AB8</f>
        <v>2012</v>
      </c>
      <c r="AC8" s="497">
        <f>+'50'!AC8</f>
        <v>2013</v>
      </c>
      <c r="AD8" s="498">
        <f>+'50'!AD8</f>
        <v>2014</v>
      </c>
    </row>
    <row r="9" spans="1:31" s="515" customFormat="1" ht="22.5" customHeight="1">
      <c r="A9" s="513" t="s">
        <v>1022</v>
      </c>
      <c r="B9" s="499" t="s">
        <v>887</v>
      </c>
      <c r="C9" s="521">
        <v>5595</v>
      </c>
      <c r="D9" s="522">
        <v>6561</v>
      </c>
      <c r="E9" s="522">
        <v>5922</v>
      </c>
      <c r="F9" s="523">
        <v>6573</v>
      </c>
      <c r="G9" s="522">
        <v>1987</v>
      </c>
      <c r="H9" s="522">
        <v>1953</v>
      </c>
      <c r="I9" s="522">
        <v>1829</v>
      </c>
      <c r="J9" s="523">
        <v>2278</v>
      </c>
      <c r="K9" s="522">
        <v>68</v>
      </c>
      <c r="L9" s="522">
        <v>94</v>
      </c>
      <c r="M9" s="522">
        <v>75</v>
      </c>
      <c r="N9" s="523">
        <v>208</v>
      </c>
      <c r="O9" s="522">
        <v>1254</v>
      </c>
      <c r="P9" s="522">
        <v>1562</v>
      </c>
      <c r="Q9" s="522">
        <v>1218</v>
      </c>
      <c r="R9" s="523">
        <v>1425</v>
      </c>
      <c r="S9" s="522">
        <v>139</v>
      </c>
      <c r="T9" s="522">
        <v>110</v>
      </c>
      <c r="U9" s="522">
        <v>108</v>
      </c>
      <c r="V9" s="523">
        <v>138</v>
      </c>
      <c r="W9" s="522">
        <v>296</v>
      </c>
      <c r="X9" s="522">
        <v>444</v>
      </c>
      <c r="Y9" s="522">
        <v>412</v>
      </c>
      <c r="Z9" s="522">
        <v>57</v>
      </c>
      <c r="AA9" s="524">
        <f t="shared" ref="AA9:AD12" si="0">+W9+S9+O9+K9+G9+C9</f>
        <v>9339</v>
      </c>
      <c r="AB9" s="522">
        <f t="shared" si="0"/>
        <v>10724</v>
      </c>
      <c r="AC9" s="522">
        <f t="shared" si="0"/>
        <v>9564</v>
      </c>
      <c r="AD9" s="500">
        <f t="shared" si="0"/>
        <v>10679</v>
      </c>
      <c r="AE9" s="525"/>
    </row>
    <row r="10" spans="1:31" s="515" customFormat="1" ht="22.5" customHeight="1">
      <c r="A10" s="499"/>
      <c r="B10" s="499" t="s">
        <v>888</v>
      </c>
      <c r="C10" s="524">
        <v>6261</v>
      </c>
      <c r="D10" s="522">
        <v>7331</v>
      </c>
      <c r="E10" s="522">
        <v>6590</v>
      </c>
      <c r="F10" s="523">
        <v>6129</v>
      </c>
      <c r="G10" s="522">
        <v>1048</v>
      </c>
      <c r="H10" s="522">
        <v>916</v>
      </c>
      <c r="I10" s="522">
        <v>907</v>
      </c>
      <c r="J10" s="523">
        <v>1170</v>
      </c>
      <c r="K10" s="522">
        <v>10</v>
      </c>
      <c r="L10" s="522">
        <v>16</v>
      </c>
      <c r="M10" s="522">
        <v>4</v>
      </c>
      <c r="N10" s="523">
        <v>4</v>
      </c>
      <c r="O10" s="522">
        <v>1215</v>
      </c>
      <c r="P10" s="522">
        <v>1482</v>
      </c>
      <c r="Q10" s="522">
        <v>1531</v>
      </c>
      <c r="R10" s="523">
        <v>2626</v>
      </c>
      <c r="S10" s="522">
        <v>140</v>
      </c>
      <c r="T10" s="522">
        <v>118</v>
      </c>
      <c r="U10" s="522">
        <v>82</v>
      </c>
      <c r="V10" s="523">
        <v>73</v>
      </c>
      <c r="W10" s="522">
        <v>308</v>
      </c>
      <c r="X10" s="522">
        <v>186</v>
      </c>
      <c r="Y10" s="522">
        <v>20</v>
      </c>
      <c r="Z10" s="522"/>
      <c r="AA10" s="524">
        <f t="shared" si="0"/>
        <v>8982</v>
      </c>
      <c r="AB10" s="522">
        <f t="shared" si="0"/>
        <v>10049</v>
      </c>
      <c r="AC10" s="522">
        <f t="shared" si="0"/>
        <v>9134</v>
      </c>
      <c r="AD10" s="500">
        <f t="shared" si="0"/>
        <v>10002</v>
      </c>
      <c r="AE10" s="525"/>
    </row>
    <row r="11" spans="1:31" s="515" customFormat="1" ht="22.5" customHeight="1">
      <c r="A11" s="499"/>
      <c r="B11" s="499" t="s">
        <v>889</v>
      </c>
      <c r="C11" s="524">
        <v>508</v>
      </c>
      <c r="D11" s="522">
        <v>698</v>
      </c>
      <c r="E11" s="522">
        <v>659</v>
      </c>
      <c r="F11" s="523">
        <v>852</v>
      </c>
      <c r="G11" s="522">
        <v>207</v>
      </c>
      <c r="H11" s="522">
        <v>177</v>
      </c>
      <c r="I11" s="522">
        <v>174</v>
      </c>
      <c r="J11" s="523">
        <v>173</v>
      </c>
      <c r="K11" s="522">
        <v>6</v>
      </c>
      <c r="L11" s="522">
        <v>3</v>
      </c>
      <c r="M11" s="522">
        <v>8</v>
      </c>
      <c r="N11" s="523">
        <v>12</v>
      </c>
      <c r="O11" s="522">
        <v>101</v>
      </c>
      <c r="P11" s="522">
        <v>150</v>
      </c>
      <c r="Q11" s="522">
        <v>107</v>
      </c>
      <c r="R11" s="523">
        <v>153</v>
      </c>
      <c r="S11" s="522">
        <v>8</v>
      </c>
      <c r="T11" s="522">
        <v>8</v>
      </c>
      <c r="U11" s="522">
        <v>15</v>
      </c>
      <c r="V11" s="523">
        <v>14</v>
      </c>
      <c r="W11" s="522">
        <v>33</v>
      </c>
      <c r="X11" s="522">
        <v>43</v>
      </c>
      <c r="Y11" s="522">
        <v>26</v>
      </c>
      <c r="Z11" s="522">
        <v>26</v>
      </c>
      <c r="AA11" s="524">
        <f t="shared" si="0"/>
        <v>863</v>
      </c>
      <c r="AB11" s="522">
        <f t="shared" si="0"/>
        <v>1079</v>
      </c>
      <c r="AC11" s="522">
        <f t="shared" si="0"/>
        <v>989</v>
      </c>
      <c r="AD11" s="500">
        <f t="shared" si="0"/>
        <v>1230</v>
      </c>
      <c r="AE11" s="525"/>
    </row>
    <row r="12" spans="1:31" s="515" customFormat="1" ht="22.5" customHeight="1">
      <c r="A12" s="499"/>
      <c r="B12" s="303" t="s">
        <v>1357</v>
      </c>
      <c r="C12" s="524"/>
      <c r="D12" s="522">
        <v>200</v>
      </c>
      <c r="E12" s="522">
        <v>154</v>
      </c>
      <c r="F12" s="523">
        <v>177</v>
      </c>
      <c r="G12" s="522"/>
      <c r="H12" s="522">
        <v>52</v>
      </c>
      <c r="I12" s="522">
        <v>65</v>
      </c>
      <c r="J12" s="523">
        <v>70</v>
      </c>
      <c r="K12" s="522"/>
      <c r="L12" s="522"/>
      <c r="M12" s="522">
        <v>3</v>
      </c>
      <c r="N12" s="523">
        <v>11</v>
      </c>
      <c r="O12" s="522"/>
      <c r="P12" s="522">
        <v>32</v>
      </c>
      <c r="Q12" s="522">
        <v>24</v>
      </c>
      <c r="R12" s="523">
        <v>32</v>
      </c>
      <c r="S12" s="522"/>
      <c r="T12" s="522">
        <v>4</v>
      </c>
      <c r="U12" s="522">
        <v>7</v>
      </c>
      <c r="V12" s="523">
        <v>5</v>
      </c>
      <c r="W12" s="522"/>
      <c r="X12" s="522">
        <v>6</v>
      </c>
      <c r="Y12" s="522">
        <v>12</v>
      </c>
      <c r="Z12" s="522">
        <v>7</v>
      </c>
      <c r="AA12" s="524"/>
      <c r="AB12" s="522">
        <f t="shared" si="0"/>
        <v>294</v>
      </c>
      <c r="AC12" s="522">
        <f t="shared" si="0"/>
        <v>265</v>
      </c>
      <c r="AD12" s="500">
        <f>+Z12+V12+R12+N12+J12+F12</f>
        <v>302</v>
      </c>
      <c r="AE12" s="525"/>
    </row>
    <row r="13" spans="1:31" s="515" customFormat="1" ht="22.5" customHeight="1">
      <c r="A13" s="499"/>
      <c r="B13" s="499" t="s">
        <v>690</v>
      </c>
      <c r="C13" s="377">
        <f t="shared" ref="C13:D13" si="1">SUM(C9:C12)</f>
        <v>12364</v>
      </c>
      <c r="D13" s="378">
        <f t="shared" si="1"/>
        <v>14790</v>
      </c>
      <c r="E13" s="378">
        <f>SUM(E9:E12)</f>
        <v>13325</v>
      </c>
      <c r="F13" s="500">
        <f>SUM(F9:F12)</f>
        <v>13731</v>
      </c>
      <c r="G13" s="377">
        <f t="shared" ref="G13:AD13" si="2">SUM(G9:G12)</f>
        <v>3242</v>
      </c>
      <c r="H13" s="378">
        <f t="shared" si="2"/>
        <v>3098</v>
      </c>
      <c r="I13" s="378">
        <f t="shared" si="2"/>
        <v>2975</v>
      </c>
      <c r="J13" s="500">
        <f t="shared" si="2"/>
        <v>3691</v>
      </c>
      <c r="K13" s="377">
        <f t="shared" si="2"/>
        <v>84</v>
      </c>
      <c r="L13" s="378">
        <f t="shared" si="2"/>
        <v>113</v>
      </c>
      <c r="M13" s="378">
        <f t="shared" si="2"/>
        <v>90</v>
      </c>
      <c r="N13" s="500">
        <f t="shared" si="2"/>
        <v>235</v>
      </c>
      <c r="O13" s="377">
        <f t="shared" si="2"/>
        <v>2570</v>
      </c>
      <c r="P13" s="378">
        <f t="shared" si="2"/>
        <v>3226</v>
      </c>
      <c r="Q13" s="378">
        <f t="shared" si="2"/>
        <v>2880</v>
      </c>
      <c r="R13" s="500">
        <f t="shared" si="2"/>
        <v>4236</v>
      </c>
      <c r="S13" s="377">
        <f t="shared" si="2"/>
        <v>287</v>
      </c>
      <c r="T13" s="378">
        <f t="shared" si="2"/>
        <v>240</v>
      </c>
      <c r="U13" s="378">
        <f t="shared" si="2"/>
        <v>212</v>
      </c>
      <c r="V13" s="500">
        <f t="shared" si="2"/>
        <v>230</v>
      </c>
      <c r="W13" s="377">
        <f t="shared" si="2"/>
        <v>637</v>
      </c>
      <c r="X13" s="378">
        <f t="shared" si="2"/>
        <v>679</v>
      </c>
      <c r="Y13" s="378">
        <f t="shared" si="2"/>
        <v>470</v>
      </c>
      <c r="Z13" s="500">
        <f t="shared" si="2"/>
        <v>90</v>
      </c>
      <c r="AA13" s="377">
        <f t="shared" si="2"/>
        <v>19184</v>
      </c>
      <c r="AB13" s="378">
        <f t="shared" si="2"/>
        <v>22146</v>
      </c>
      <c r="AC13" s="378">
        <f t="shared" si="2"/>
        <v>19952</v>
      </c>
      <c r="AD13" s="500">
        <f t="shared" si="2"/>
        <v>22213</v>
      </c>
      <c r="AE13" s="525"/>
    </row>
    <row r="14" spans="1:31" s="515" customFormat="1" ht="22.5" customHeight="1">
      <c r="A14" s="499" t="s">
        <v>576</v>
      </c>
      <c r="B14" s="499" t="s">
        <v>890</v>
      </c>
      <c r="C14" s="524">
        <v>4484</v>
      </c>
      <c r="D14" s="522">
        <v>2767</v>
      </c>
      <c r="E14" s="522">
        <v>2503</v>
      </c>
      <c r="F14" s="500">
        <v>3175</v>
      </c>
      <c r="G14" s="522">
        <v>798</v>
      </c>
      <c r="H14" s="522">
        <v>363</v>
      </c>
      <c r="I14" s="522">
        <v>592</v>
      </c>
      <c r="J14" s="500">
        <v>738</v>
      </c>
      <c r="K14" s="522"/>
      <c r="L14" s="522">
        <v>4</v>
      </c>
      <c r="M14" s="522">
        <v>22</v>
      </c>
      <c r="N14" s="500">
        <v>60</v>
      </c>
      <c r="O14" s="522">
        <v>357</v>
      </c>
      <c r="P14" s="522">
        <v>204</v>
      </c>
      <c r="Q14" s="522">
        <v>210</v>
      </c>
      <c r="R14" s="500">
        <v>553</v>
      </c>
      <c r="S14" s="522">
        <v>280</v>
      </c>
      <c r="T14" s="522">
        <v>208</v>
      </c>
      <c r="U14" s="522">
        <v>367</v>
      </c>
      <c r="V14" s="500">
        <v>662</v>
      </c>
      <c r="W14" s="522"/>
      <c r="X14" s="522"/>
      <c r="Y14" s="522"/>
      <c r="Z14" s="500"/>
      <c r="AA14" s="524">
        <f>+W14+S14+O14+K14+G14+C14</f>
        <v>5919</v>
      </c>
      <c r="AB14" s="522">
        <f>+X14+T14+P14+L14+H14+D14</f>
        <v>3546</v>
      </c>
      <c r="AC14" s="522">
        <f>+Y14+U14+Q14+M14+I14+E14</f>
        <v>3694</v>
      </c>
      <c r="AD14" s="500">
        <f>+Z14+V14+R14+N14+J14+F14</f>
        <v>5188</v>
      </c>
      <c r="AE14" s="525"/>
    </row>
    <row r="15" spans="1:31" s="515" customFormat="1" ht="22.5" customHeight="1">
      <c r="A15" s="499"/>
      <c r="B15" s="254" t="s">
        <v>1362</v>
      </c>
      <c r="C15" s="524"/>
      <c r="D15" s="522">
        <v>698</v>
      </c>
      <c r="E15" s="522">
        <v>308</v>
      </c>
      <c r="F15" s="500">
        <v>379</v>
      </c>
      <c r="G15" s="522"/>
      <c r="H15" s="522">
        <v>177</v>
      </c>
      <c r="I15" s="522">
        <v>96</v>
      </c>
      <c r="J15" s="500">
        <v>169</v>
      </c>
      <c r="K15" s="522"/>
      <c r="L15" s="522">
        <v>3</v>
      </c>
      <c r="M15" s="522">
        <v>5</v>
      </c>
      <c r="N15" s="500">
        <v>12</v>
      </c>
      <c r="O15" s="522"/>
      <c r="P15" s="522">
        <v>150</v>
      </c>
      <c r="Q15" s="522">
        <v>22</v>
      </c>
      <c r="R15" s="500">
        <v>72</v>
      </c>
      <c r="S15" s="522"/>
      <c r="T15" s="522">
        <v>8</v>
      </c>
      <c r="U15" s="522"/>
      <c r="V15" s="500"/>
      <c r="W15" s="522"/>
      <c r="X15" s="522">
        <v>43</v>
      </c>
      <c r="Y15" s="522"/>
      <c r="Z15" s="500"/>
      <c r="AA15" s="524"/>
      <c r="AB15" s="522">
        <f t="shared" ref="AB15:AD16" si="3">+X15+T15+P15+L15+H15+D15</f>
        <v>1079</v>
      </c>
      <c r="AC15" s="522">
        <f t="shared" si="3"/>
        <v>431</v>
      </c>
      <c r="AD15" s="500">
        <f t="shared" si="3"/>
        <v>632</v>
      </c>
      <c r="AE15" s="525"/>
    </row>
    <row r="16" spans="1:31" s="515" customFormat="1" ht="22.5" customHeight="1">
      <c r="A16" s="499"/>
      <c r="B16" s="303" t="s">
        <v>1359</v>
      </c>
      <c r="C16" s="524"/>
      <c r="D16" s="522">
        <v>508</v>
      </c>
      <c r="E16" s="522">
        <v>516</v>
      </c>
      <c r="F16" s="500">
        <v>606</v>
      </c>
      <c r="G16" s="522"/>
      <c r="H16" s="522">
        <v>117</v>
      </c>
      <c r="I16" s="522">
        <v>138</v>
      </c>
      <c r="J16" s="500">
        <v>160</v>
      </c>
      <c r="K16" s="522"/>
      <c r="L16" s="522">
        <v>2</v>
      </c>
      <c r="M16" s="522">
        <v>18</v>
      </c>
      <c r="N16" s="500">
        <v>7</v>
      </c>
      <c r="O16" s="522"/>
      <c r="P16" s="522">
        <v>52</v>
      </c>
      <c r="Q16" s="522">
        <v>55</v>
      </c>
      <c r="R16" s="500">
        <v>91</v>
      </c>
      <c r="S16" s="522"/>
      <c r="T16" s="522"/>
      <c r="U16" s="522"/>
      <c r="V16" s="500"/>
      <c r="W16" s="522"/>
      <c r="X16" s="522"/>
      <c r="Y16" s="522">
        <v>6</v>
      </c>
      <c r="Z16" s="500"/>
      <c r="AA16" s="524"/>
      <c r="AB16" s="522">
        <f t="shared" si="3"/>
        <v>679</v>
      </c>
      <c r="AC16" s="522">
        <f t="shared" si="3"/>
        <v>733</v>
      </c>
      <c r="AD16" s="500">
        <f t="shared" si="3"/>
        <v>864</v>
      </c>
      <c r="AE16" s="525"/>
    </row>
    <row r="17" spans="1:44" s="515" customFormat="1" ht="22.5" customHeight="1">
      <c r="A17" s="499"/>
      <c r="B17" s="350" t="s">
        <v>690</v>
      </c>
      <c r="C17" s="377">
        <f t="shared" ref="C17:D17" si="4">SUM(C14:C16)</f>
        <v>4484</v>
      </c>
      <c r="D17" s="378">
        <f t="shared" si="4"/>
        <v>3973</v>
      </c>
      <c r="E17" s="378">
        <f>SUM(E14:E16)</f>
        <v>3327</v>
      </c>
      <c r="F17" s="500">
        <f>SUM(F14:F16)</f>
        <v>4160</v>
      </c>
      <c r="G17" s="377">
        <f t="shared" ref="G17:AD17" si="5">SUM(G14:G16)</f>
        <v>798</v>
      </c>
      <c r="H17" s="378">
        <f t="shared" si="5"/>
        <v>657</v>
      </c>
      <c r="I17" s="378">
        <f t="shared" si="5"/>
        <v>826</v>
      </c>
      <c r="J17" s="500">
        <f t="shared" si="5"/>
        <v>1067</v>
      </c>
      <c r="K17" s="377">
        <f t="shared" si="5"/>
        <v>0</v>
      </c>
      <c r="L17" s="378">
        <f t="shared" si="5"/>
        <v>9</v>
      </c>
      <c r="M17" s="378">
        <f t="shared" si="5"/>
        <v>45</v>
      </c>
      <c r="N17" s="500">
        <f t="shared" si="5"/>
        <v>79</v>
      </c>
      <c r="O17" s="377">
        <f t="shared" si="5"/>
        <v>357</v>
      </c>
      <c r="P17" s="378">
        <f t="shared" si="5"/>
        <v>406</v>
      </c>
      <c r="Q17" s="378">
        <f t="shared" si="5"/>
        <v>287</v>
      </c>
      <c r="R17" s="500">
        <f t="shared" si="5"/>
        <v>716</v>
      </c>
      <c r="S17" s="377">
        <f t="shared" si="5"/>
        <v>280</v>
      </c>
      <c r="T17" s="378">
        <f t="shared" si="5"/>
        <v>216</v>
      </c>
      <c r="U17" s="378">
        <f t="shared" si="5"/>
        <v>367</v>
      </c>
      <c r="V17" s="500">
        <f t="shared" si="5"/>
        <v>662</v>
      </c>
      <c r="W17" s="377">
        <f t="shared" si="5"/>
        <v>0</v>
      </c>
      <c r="X17" s="378">
        <f t="shared" si="5"/>
        <v>43</v>
      </c>
      <c r="Y17" s="378">
        <f t="shared" si="5"/>
        <v>6</v>
      </c>
      <c r="Z17" s="500">
        <f t="shared" si="5"/>
        <v>0</v>
      </c>
      <c r="AA17" s="377">
        <f t="shared" si="5"/>
        <v>5919</v>
      </c>
      <c r="AB17" s="378">
        <f t="shared" si="5"/>
        <v>5304</v>
      </c>
      <c r="AC17" s="378">
        <f t="shared" si="5"/>
        <v>4858</v>
      </c>
      <c r="AD17" s="500">
        <f t="shared" si="5"/>
        <v>6684</v>
      </c>
      <c r="AE17" s="525"/>
    </row>
    <row r="18" spans="1:44" s="515" customFormat="1" ht="22.5" customHeight="1">
      <c r="A18" s="499" t="s">
        <v>1023</v>
      </c>
      <c r="B18" s="499" t="s">
        <v>892</v>
      </c>
      <c r="C18" s="524">
        <v>3063</v>
      </c>
      <c r="D18" s="522">
        <v>2561</v>
      </c>
      <c r="E18" s="522">
        <v>1857</v>
      </c>
      <c r="F18" s="500">
        <v>2989</v>
      </c>
      <c r="G18" s="522">
        <v>411</v>
      </c>
      <c r="H18" s="522">
        <v>366</v>
      </c>
      <c r="I18" s="522">
        <v>372</v>
      </c>
      <c r="J18" s="500">
        <v>287</v>
      </c>
      <c r="K18" s="522">
        <v>17</v>
      </c>
      <c r="L18" s="522">
        <v>19</v>
      </c>
      <c r="M18" s="522">
        <v>15</v>
      </c>
      <c r="N18" s="500">
        <v>185</v>
      </c>
      <c r="O18" s="522">
        <v>334</v>
      </c>
      <c r="P18" s="522">
        <v>353</v>
      </c>
      <c r="Q18" s="522">
        <v>266</v>
      </c>
      <c r="R18" s="500">
        <v>369</v>
      </c>
      <c r="S18" s="522">
        <v>75</v>
      </c>
      <c r="T18" s="522">
        <v>47</v>
      </c>
      <c r="U18" s="522">
        <v>18</v>
      </c>
      <c r="V18" s="500">
        <v>81</v>
      </c>
      <c r="W18" s="522">
        <v>2</v>
      </c>
      <c r="X18" s="522"/>
      <c r="Y18" s="522"/>
      <c r="Z18" s="500"/>
      <c r="AA18" s="524">
        <f>+W18+S18+O18+K18+G18+C18</f>
        <v>3902</v>
      </c>
      <c r="AB18" s="522">
        <f>+X18+T18+P18+L18+H18+D18</f>
        <v>3346</v>
      </c>
      <c r="AC18" s="522">
        <f>+Y18+U18+Q18+M18+I18+E18</f>
        <v>2528</v>
      </c>
      <c r="AD18" s="500">
        <f>+Z18+V18+R18+N18+J18+F18</f>
        <v>3911</v>
      </c>
      <c r="AE18" s="525"/>
    </row>
    <row r="19" spans="1:44" s="515" customFormat="1" ht="22.5" customHeight="1">
      <c r="A19" s="499"/>
      <c r="B19" s="303" t="s">
        <v>1361</v>
      </c>
      <c r="C19" s="524"/>
      <c r="D19" s="522">
        <v>365</v>
      </c>
      <c r="E19" s="522">
        <v>376</v>
      </c>
      <c r="F19" s="500">
        <v>413</v>
      </c>
      <c r="G19" s="522"/>
      <c r="H19" s="522">
        <v>24</v>
      </c>
      <c r="I19" s="522">
        <v>33</v>
      </c>
      <c r="J19" s="500">
        <v>106</v>
      </c>
      <c r="K19" s="522"/>
      <c r="L19" s="522">
        <v>4</v>
      </c>
      <c r="M19" s="522">
        <v>5</v>
      </c>
      <c r="N19" s="500">
        <v>7</v>
      </c>
      <c r="O19" s="522"/>
      <c r="P19" s="522">
        <v>35</v>
      </c>
      <c r="Q19" s="522">
        <v>58</v>
      </c>
      <c r="R19" s="500">
        <v>61</v>
      </c>
      <c r="S19" s="522"/>
      <c r="T19" s="522"/>
      <c r="U19" s="522"/>
      <c r="V19" s="500"/>
      <c r="W19" s="522"/>
      <c r="X19" s="522"/>
      <c r="Y19" s="522"/>
      <c r="Z19" s="500">
        <v>15</v>
      </c>
      <c r="AA19" s="524"/>
      <c r="AB19" s="522">
        <f>+X19+T19+P19+L19+H19+D19</f>
        <v>428</v>
      </c>
      <c r="AC19" s="522">
        <f>+Y19+U19+Q19+M19+I19+E19</f>
        <v>472</v>
      </c>
      <c r="AD19" s="500">
        <f>+Z19+V19+R19+N19+J19+F19</f>
        <v>602</v>
      </c>
      <c r="AE19" s="525"/>
    </row>
    <row r="20" spans="1:44" s="515" customFormat="1" ht="22.5" customHeight="1">
      <c r="A20" s="499"/>
      <c r="B20" s="350" t="s">
        <v>690</v>
      </c>
      <c r="C20" s="377">
        <f t="shared" ref="C20:D20" si="6">SUM(C18:C19)</f>
        <v>3063</v>
      </c>
      <c r="D20" s="378">
        <f t="shared" si="6"/>
        <v>2926</v>
      </c>
      <c r="E20" s="378">
        <f>SUM(E18:E19)</f>
        <v>2233</v>
      </c>
      <c r="F20" s="500">
        <f>SUM(F18:F19)</f>
        <v>3402</v>
      </c>
      <c r="G20" s="377">
        <f t="shared" ref="G20:AD20" si="7">SUM(G18:G19)</f>
        <v>411</v>
      </c>
      <c r="H20" s="378">
        <f t="shared" si="7"/>
        <v>390</v>
      </c>
      <c r="I20" s="378">
        <f t="shared" si="7"/>
        <v>405</v>
      </c>
      <c r="J20" s="500">
        <f t="shared" si="7"/>
        <v>393</v>
      </c>
      <c r="K20" s="377">
        <f t="shared" si="7"/>
        <v>17</v>
      </c>
      <c r="L20" s="378">
        <f t="shared" si="7"/>
        <v>23</v>
      </c>
      <c r="M20" s="378">
        <f t="shared" si="7"/>
        <v>20</v>
      </c>
      <c r="N20" s="500">
        <f t="shared" si="7"/>
        <v>192</v>
      </c>
      <c r="O20" s="377">
        <f t="shared" si="7"/>
        <v>334</v>
      </c>
      <c r="P20" s="378">
        <f t="shared" si="7"/>
        <v>388</v>
      </c>
      <c r="Q20" s="378">
        <f t="shared" si="7"/>
        <v>324</v>
      </c>
      <c r="R20" s="500">
        <f t="shared" si="7"/>
        <v>430</v>
      </c>
      <c r="S20" s="377">
        <f t="shared" si="7"/>
        <v>75</v>
      </c>
      <c r="T20" s="378">
        <f t="shared" si="7"/>
        <v>47</v>
      </c>
      <c r="U20" s="378">
        <f t="shared" si="7"/>
        <v>18</v>
      </c>
      <c r="V20" s="500">
        <f t="shared" si="7"/>
        <v>81</v>
      </c>
      <c r="W20" s="377">
        <f t="shared" si="7"/>
        <v>2</v>
      </c>
      <c r="X20" s="378">
        <f t="shared" si="7"/>
        <v>0</v>
      </c>
      <c r="Y20" s="378">
        <f t="shared" si="7"/>
        <v>0</v>
      </c>
      <c r="Z20" s="500">
        <f t="shared" si="7"/>
        <v>15</v>
      </c>
      <c r="AA20" s="377">
        <f t="shared" si="7"/>
        <v>3902</v>
      </c>
      <c r="AB20" s="378">
        <f t="shared" si="7"/>
        <v>3774</v>
      </c>
      <c r="AC20" s="378">
        <f t="shared" si="7"/>
        <v>3000</v>
      </c>
      <c r="AD20" s="500">
        <f t="shared" si="7"/>
        <v>4513</v>
      </c>
      <c r="AE20" s="525"/>
    </row>
    <row r="21" spans="1:44" s="515" customFormat="1" ht="22.5" customHeight="1">
      <c r="A21" s="499" t="s">
        <v>578</v>
      </c>
      <c r="B21" s="499" t="s">
        <v>893</v>
      </c>
      <c r="C21" s="524">
        <v>2732</v>
      </c>
      <c r="D21" s="522">
        <v>2984</v>
      </c>
      <c r="E21" s="522">
        <v>4151</v>
      </c>
      <c r="F21" s="500">
        <v>2779</v>
      </c>
      <c r="G21" s="522">
        <v>148</v>
      </c>
      <c r="H21" s="522">
        <v>227</v>
      </c>
      <c r="I21" s="522">
        <v>230</v>
      </c>
      <c r="J21" s="500">
        <v>733</v>
      </c>
      <c r="K21" s="522">
        <v>4</v>
      </c>
      <c r="L21" s="522">
        <v>15</v>
      </c>
      <c r="M21" s="522">
        <v>32</v>
      </c>
      <c r="N21" s="500">
        <v>66</v>
      </c>
      <c r="O21" s="522">
        <v>215</v>
      </c>
      <c r="P21" s="522">
        <v>149</v>
      </c>
      <c r="Q21" s="522">
        <v>200</v>
      </c>
      <c r="R21" s="500">
        <v>417</v>
      </c>
      <c r="S21" s="522">
        <v>35</v>
      </c>
      <c r="T21" s="522">
        <v>54</v>
      </c>
      <c r="U21" s="522">
        <v>41</v>
      </c>
      <c r="V21" s="500">
        <v>59</v>
      </c>
      <c r="W21" s="522">
        <v>2</v>
      </c>
      <c r="X21" s="522"/>
      <c r="Y21" s="522">
        <v>92</v>
      </c>
      <c r="Z21" s="500">
        <v>40</v>
      </c>
      <c r="AA21" s="524">
        <f>+W21+S21+O21+K21+G21+C21</f>
        <v>3136</v>
      </c>
      <c r="AB21" s="522">
        <f>+X21+T21+P21+L21+H21+D21</f>
        <v>3429</v>
      </c>
      <c r="AC21" s="522">
        <f>+Y21+U21+Q21+M21+I21+E21</f>
        <v>4746</v>
      </c>
      <c r="AD21" s="500">
        <f>+Z21+V21+R21+N21+J21+F21</f>
        <v>4094</v>
      </c>
      <c r="AE21" s="525"/>
    </row>
    <row r="22" spans="1:44" s="515" customFormat="1" ht="22.5" customHeight="1">
      <c r="A22" s="509" t="s">
        <v>1024</v>
      </c>
      <c r="B22" s="505"/>
      <c r="C22" s="507">
        <f t="shared" ref="C22:D22" si="8">+C13+C17+C20+C21</f>
        <v>22643</v>
      </c>
      <c r="D22" s="507">
        <f t="shared" si="8"/>
        <v>24673</v>
      </c>
      <c r="E22" s="507">
        <f>+E13+E17+E20+E21</f>
        <v>23036</v>
      </c>
      <c r="F22" s="508">
        <f>+F13+F17+F20+F21</f>
        <v>24072</v>
      </c>
      <c r="G22" s="507">
        <f t="shared" ref="G22:AD22" si="9">+G13+G17+G20+G21</f>
        <v>4599</v>
      </c>
      <c r="H22" s="507">
        <f t="shared" si="9"/>
        <v>4372</v>
      </c>
      <c r="I22" s="507">
        <f t="shared" si="9"/>
        <v>4436</v>
      </c>
      <c r="J22" s="508">
        <f t="shared" si="9"/>
        <v>5884</v>
      </c>
      <c r="K22" s="507">
        <f t="shared" si="9"/>
        <v>105</v>
      </c>
      <c r="L22" s="507">
        <f t="shared" si="9"/>
        <v>160</v>
      </c>
      <c r="M22" s="507">
        <f t="shared" si="9"/>
        <v>187</v>
      </c>
      <c r="N22" s="508">
        <f t="shared" si="9"/>
        <v>572</v>
      </c>
      <c r="O22" s="507">
        <f t="shared" si="9"/>
        <v>3476</v>
      </c>
      <c r="P22" s="507">
        <f t="shared" si="9"/>
        <v>4169</v>
      </c>
      <c r="Q22" s="507">
        <f t="shared" si="9"/>
        <v>3691</v>
      </c>
      <c r="R22" s="508">
        <f t="shared" si="9"/>
        <v>5799</v>
      </c>
      <c r="S22" s="507">
        <f t="shared" si="9"/>
        <v>677</v>
      </c>
      <c r="T22" s="507">
        <f t="shared" si="9"/>
        <v>557</v>
      </c>
      <c r="U22" s="507">
        <f t="shared" si="9"/>
        <v>638</v>
      </c>
      <c r="V22" s="508">
        <f t="shared" si="9"/>
        <v>1032</v>
      </c>
      <c r="W22" s="507">
        <f t="shared" si="9"/>
        <v>641</v>
      </c>
      <c r="X22" s="507">
        <f t="shared" si="9"/>
        <v>722</v>
      </c>
      <c r="Y22" s="507">
        <f t="shared" si="9"/>
        <v>568</v>
      </c>
      <c r="Z22" s="508">
        <f t="shared" si="9"/>
        <v>145</v>
      </c>
      <c r="AA22" s="507">
        <f t="shared" si="9"/>
        <v>32141</v>
      </c>
      <c r="AB22" s="507">
        <f t="shared" si="9"/>
        <v>34653</v>
      </c>
      <c r="AC22" s="507">
        <f t="shared" si="9"/>
        <v>32556</v>
      </c>
      <c r="AD22" s="508">
        <f t="shared" si="9"/>
        <v>37504</v>
      </c>
      <c r="AE22" s="526"/>
      <c r="AF22" s="519"/>
      <c r="AG22" s="519"/>
      <c r="AH22" s="519"/>
      <c r="AI22" s="519"/>
      <c r="AJ22" s="519"/>
      <c r="AK22" s="519"/>
      <c r="AL22" s="519"/>
      <c r="AM22" s="519"/>
      <c r="AN22" s="519"/>
      <c r="AO22" s="519"/>
      <c r="AP22" s="519"/>
      <c r="AQ22" s="519"/>
      <c r="AR22" s="519"/>
    </row>
    <row r="23" spans="1:44" s="515" customFormat="1" ht="22.5" customHeight="1">
      <c r="A23" s="499" t="s">
        <v>1025</v>
      </c>
      <c r="B23" s="499" t="s">
        <v>895</v>
      </c>
      <c r="C23" s="524">
        <v>8223</v>
      </c>
      <c r="D23" s="522">
        <v>7796</v>
      </c>
      <c r="E23" s="522">
        <v>7020</v>
      </c>
      <c r="F23" s="500">
        <v>7511</v>
      </c>
      <c r="G23" s="522">
        <v>1226</v>
      </c>
      <c r="H23" s="522">
        <v>1155</v>
      </c>
      <c r="I23" s="522">
        <v>1032</v>
      </c>
      <c r="J23" s="500">
        <v>1605</v>
      </c>
      <c r="K23" s="522">
        <v>22</v>
      </c>
      <c r="L23" s="522">
        <v>15</v>
      </c>
      <c r="M23" s="522">
        <v>28</v>
      </c>
      <c r="N23" s="500">
        <v>114</v>
      </c>
      <c r="O23" s="522">
        <v>1685</v>
      </c>
      <c r="P23" s="522">
        <v>1558</v>
      </c>
      <c r="Q23" s="522">
        <v>1438</v>
      </c>
      <c r="R23" s="500">
        <v>2087</v>
      </c>
      <c r="S23" s="522">
        <v>138</v>
      </c>
      <c r="T23" s="522">
        <v>266</v>
      </c>
      <c r="U23" s="522">
        <v>154</v>
      </c>
      <c r="V23" s="500">
        <v>296</v>
      </c>
      <c r="W23" s="522"/>
      <c r="X23" s="522"/>
      <c r="Y23" s="522"/>
      <c r="Z23" s="500"/>
      <c r="AA23" s="524">
        <f t="shared" ref="AA23:AC26" si="10">+W23+S23+O23+K23+G23+C23</f>
        <v>11294</v>
      </c>
      <c r="AB23" s="522">
        <f t="shared" si="10"/>
        <v>10790</v>
      </c>
      <c r="AC23" s="522">
        <f t="shared" si="10"/>
        <v>9672</v>
      </c>
      <c r="AD23" s="500">
        <f>+Z23+V23+R23+N23+J23+F23</f>
        <v>11613</v>
      </c>
      <c r="AE23" s="525"/>
    </row>
    <row r="24" spans="1:44" s="515" customFormat="1" ht="22.5" customHeight="1">
      <c r="A24" s="499"/>
      <c r="B24" s="499" t="s">
        <v>896</v>
      </c>
      <c r="C24" s="524">
        <v>7580</v>
      </c>
      <c r="D24" s="522">
        <v>8706</v>
      </c>
      <c r="E24" s="522">
        <v>10095</v>
      </c>
      <c r="F24" s="500">
        <v>9983</v>
      </c>
      <c r="G24" s="522">
        <v>1136</v>
      </c>
      <c r="H24" s="522">
        <v>985</v>
      </c>
      <c r="I24" s="522">
        <v>1168</v>
      </c>
      <c r="J24" s="500">
        <v>1648</v>
      </c>
      <c r="K24" s="522">
        <v>81</v>
      </c>
      <c r="L24" s="522">
        <v>117</v>
      </c>
      <c r="M24" s="522">
        <v>132</v>
      </c>
      <c r="N24" s="500">
        <v>93</v>
      </c>
      <c r="O24" s="522">
        <v>968</v>
      </c>
      <c r="P24" s="522">
        <v>761</v>
      </c>
      <c r="Q24" s="522">
        <v>1172</v>
      </c>
      <c r="R24" s="500">
        <v>1551</v>
      </c>
      <c r="S24" s="522">
        <v>617</v>
      </c>
      <c r="T24" s="522">
        <v>652</v>
      </c>
      <c r="U24" s="522">
        <v>730</v>
      </c>
      <c r="V24" s="500">
        <v>679</v>
      </c>
      <c r="W24" s="522">
        <v>41</v>
      </c>
      <c r="X24" s="522">
        <v>8</v>
      </c>
      <c r="Y24" s="522">
        <v>34</v>
      </c>
      <c r="Z24" s="500">
        <v>16</v>
      </c>
      <c r="AA24" s="524">
        <f t="shared" ref="AA24:AD26" si="11">+W24+S24+O24+K24+G24+C24</f>
        <v>10423</v>
      </c>
      <c r="AB24" s="522">
        <f t="shared" si="11"/>
        <v>11229</v>
      </c>
      <c r="AC24" s="522">
        <f t="shared" si="11"/>
        <v>13331</v>
      </c>
      <c r="AD24" s="500">
        <f>+Z24+V24+R24+N24+J24+F24</f>
        <v>13970</v>
      </c>
      <c r="AE24" s="525"/>
    </row>
    <row r="25" spans="1:44" s="515" customFormat="1" ht="22.5" customHeight="1">
      <c r="A25" s="499"/>
      <c r="B25" s="499" t="s">
        <v>586</v>
      </c>
      <c r="C25" s="524">
        <v>599</v>
      </c>
      <c r="D25" s="522">
        <v>960</v>
      </c>
      <c r="E25" s="522">
        <v>906</v>
      </c>
      <c r="F25" s="500">
        <v>1161</v>
      </c>
      <c r="G25" s="522">
        <v>180</v>
      </c>
      <c r="H25" s="522">
        <v>123</v>
      </c>
      <c r="I25" s="522">
        <v>129</v>
      </c>
      <c r="J25" s="500">
        <v>212</v>
      </c>
      <c r="K25" s="522">
        <v>3</v>
      </c>
      <c r="L25" s="522">
        <v>11</v>
      </c>
      <c r="M25" s="522">
        <v>6</v>
      </c>
      <c r="N25" s="500">
        <v>16</v>
      </c>
      <c r="O25" s="522"/>
      <c r="P25" s="522">
        <v>155</v>
      </c>
      <c r="Q25" s="522">
        <v>143</v>
      </c>
      <c r="R25" s="500">
        <v>162</v>
      </c>
      <c r="S25" s="522"/>
      <c r="T25" s="522">
        <v>44</v>
      </c>
      <c r="U25" s="522">
        <v>19</v>
      </c>
      <c r="V25" s="500">
        <v>6</v>
      </c>
      <c r="W25" s="522"/>
      <c r="X25" s="522">
        <v>3</v>
      </c>
      <c r="Y25" s="522"/>
      <c r="Z25" s="500"/>
      <c r="AA25" s="524">
        <f t="shared" si="11"/>
        <v>782</v>
      </c>
      <c r="AB25" s="522">
        <f t="shared" si="11"/>
        <v>1296</v>
      </c>
      <c r="AC25" s="522">
        <f t="shared" si="11"/>
        <v>1203</v>
      </c>
      <c r="AD25" s="500">
        <f t="shared" si="11"/>
        <v>1557</v>
      </c>
      <c r="AE25" s="525"/>
    </row>
    <row r="26" spans="1:44" s="515" customFormat="1" ht="22.5" customHeight="1">
      <c r="A26" s="499"/>
      <c r="B26" s="499" t="s">
        <v>897</v>
      </c>
      <c r="C26" s="524">
        <v>1527</v>
      </c>
      <c r="D26" s="522">
        <v>1722</v>
      </c>
      <c r="E26" s="522">
        <v>1679</v>
      </c>
      <c r="F26" s="500">
        <v>1969</v>
      </c>
      <c r="G26" s="522">
        <v>201</v>
      </c>
      <c r="H26" s="522">
        <v>193</v>
      </c>
      <c r="I26" s="522">
        <v>298</v>
      </c>
      <c r="J26" s="500">
        <v>424</v>
      </c>
      <c r="K26" s="522">
        <v>0</v>
      </c>
      <c r="L26" s="522">
        <v>12</v>
      </c>
      <c r="M26" s="522">
        <v>18</v>
      </c>
      <c r="N26" s="500">
        <v>8</v>
      </c>
      <c r="O26" s="522">
        <v>251</v>
      </c>
      <c r="P26" s="522">
        <v>268</v>
      </c>
      <c r="Q26" s="522">
        <v>231</v>
      </c>
      <c r="R26" s="500">
        <v>410</v>
      </c>
      <c r="S26" s="522">
        <v>22</v>
      </c>
      <c r="T26" s="522">
        <v>78</v>
      </c>
      <c r="U26" s="522">
        <v>48</v>
      </c>
      <c r="V26" s="500">
        <v>50</v>
      </c>
      <c r="W26" s="522">
        <v>41</v>
      </c>
      <c r="X26" s="522">
        <v>7</v>
      </c>
      <c r="Y26" s="522">
        <v>103</v>
      </c>
      <c r="Z26" s="500"/>
      <c r="AA26" s="524">
        <f t="shared" si="10"/>
        <v>2042</v>
      </c>
      <c r="AB26" s="522">
        <f t="shared" si="10"/>
        <v>2280</v>
      </c>
      <c r="AC26" s="522">
        <f t="shared" si="10"/>
        <v>2377</v>
      </c>
      <c r="AD26" s="500">
        <f t="shared" si="11"/>
        <v>2861</v>
      </c>
      <c r="AE26" s="525"/>
    </row>
    <row r="27" spans="1:44" s="515" customFormat="1" ht="22.5" customHeight="1">
      <c r="A27" s="499"/>
      <c r="B27" s="499" t="s">
        <v>690</v>
      </c>
      <c r="C27" s="377">
        <f t="shared" ref="C27:D27" si="12">SUM(C23:C26)</f>
        <v>17929</v>
      </c>
      <c r="D27" s="378">
        <f t="shared" si="12"/>
        <v>19184</v>
      </c>
      <c r="E27" s="378">
        <f>SUM(E23:E26)</f>
        <v>19700</v>
      </c>
      <c r="F27" s="500">
        <f>SUM(F23:F26)</f>
        <v>20624</v>
      </c>
      <c r="G27" s="377">
        <f t="shared" ref="G27:AD27" si="13">SUM(G23:G26)</f>
        <v>2743</v>
      </c>
      <c r="H27" s="378">
        <f t="shared" si="13"/>
        <v>2456</v>
      </c>
      <c r="I27" s="378">
        <f t="shared" si="13"/>
        <v>2627</v>
      </c>
      <c r="J27" s="500">
        <f t="shared" si="13"/>
        <v>3889</v>
      </c>
      <c r="K27" s="377">
        <f t="shared" si="13"/>
        <v>106</v>
      </c>
      <c r="L27" s="378">
        <f t="shared" si="13"/>
        <v>155</v>
      </c>
      <c r="M27" s="378">
        <f t="shared" si="13"/>
        <v>184</v>
      </c>
      <c r="N27" s="500">
        <f t="shared" si="13"/>
        <v>231</v>
      </c>
      <c r="O27" s="377">
        <f t="shared" si="13"/>
        <v>2904</v>
      </c>
      <c r="P27" s="378">
        <f t="shared" si="13"/>
        <v>2742</v>
      </c>
      <c r="Q27" s="378">
        <f t="shared" si="13"/>
        <v>2984</v>
      </c>
      <c r="R27" s="500">
        <f t="shared" si="13"/>
        <v>4210</v>
      </c>
      <c r="S27" s="377">
        <f t="shared" si="13"/>
        <v>777</v>
      </c>
      <c r="T27" s="378">
        <f t="shared" si="13"/>
        <v>1040</v>
      </c>
      <c r="U27" s="378">
        <f t="shared" si="13"/>
        <v>951</v>
      </c>
      <c r="V27" s="500">
        <f t="shared" si="13"/>
        <v>1031</v>
      </c>
      <c r="W27" s="377">
        <f t="shared" si="13"/>
        <v>82</v>
      </c>
      <c r="X27" s="378">
        <f t="shared" si="13"/>
        <v>18</v>
      </c>
      <c r="Y27" s="378">
        <f t="shared" si="13"/>
        <v>137</v>
      </c>
      <c r="Z27" s="500">
        <f t="shared" si="13"/>
        <v>16</v>
      </c>
      <c r="AA27" s="377">
        <f t="shared" si="13"/>
        <v>24541</v>
      </c>
      <c r="AB27" s="378">
        <f t="shared" si="13"/>
        <v>25595</v>
      </c>
      <c r="AC27" s="378">
        <f t="shared" si="13"/>
        <v>26583</v>
      </c>
      <c r="AD27" s="500">
        <f t="shared" si="13"/>
        <v>30001</v>
      </c>
      <c r="AE27" s="525"/>
    </row>
    <row r="28" spans="1:44" s="515" customFormat="1" ht="22.5" customHeight="1">
      <c r="A28" s="499" t="s">
        <v>581</v>
      </c>
      <c r="B28" s="499" t="s">
        <v>898</v>
      </c>
      <c r="C28" s="524">
        <v>6397</v>
      </c>
      <c r="D28" s="522">
        <v>5023</v>
      </c>
      <c r="E28" s="522">
        <v>4632</v>
      </c>
      <c r="F28" s="500">
        <v>5177</v>
      </c>
      <c r="G28" s="522">
        <v>777</v>
      </c>
      <c r="H28" s="522">
        <v>838</v>
      </c>
      <c r="I28" s="522">
        <v>1829</v>
      </c>
      <c r="J28" s="500">
        <v>1396</v>
      </c>
      <c r="K28" s="522">
        <v>49</v>
      </c>
      <c r="L28" s="522">
        <v>26</v>
      </c>
      <c r="M28" s="522">
        <v>27</v>
      </c>
      <c r="N28" s="500">
        <v>104</v>
      </c>
      <c r="O28" s="522">
        <v>1130</v>
      </c>
      <c r="P28" s="522">
        <v>815</v>
      </c>
      <c r="Q28" s="522">
        <v>937</v>
      </c>
      <c r="R28" s="500">
        <v>1453</v>
      </c>
      <c r="S28" s="522">
        <v>1102</v>
      </c>
      <c r="T28" s="522">
        <v>317</v>
      </c>
      <c r="U28" s="522">
        <v>302</v>
      </c>
      <c r="V28" s="500">
        <v>274</v>
      </c>
      <c r="W28" s="522">
        <v>273</v>
      </c>
      <c r="X28" s="522">
        <v>198</v>
      </c>
      <c r="Y28" s="522">
        <v>176</v>
      </c>
      <c r="Z28" s="500">
        <v>299</v>
      </c>
      <c r="AA28" s="524">
        <f>+W28+S28+O28+K28+G28+C28</f>
        <v>9728</v>
      </c>
      <c r="AB28" s="522">
        <f>+X28+T28+P28+L28+H28+D28</f>
        <v>7217</v>
      </c>
      <c r="AC28" s="522">
        <f>+Y28+U28+Q28+M28+I28+E28</f>
        <v>7903</v>
      </c>
      <c r="AD28" s="500">
        <f>+Z28+V28+R28+N28+J28+F28</f>
        <v>8703</v>
      </c>
      <c r="AE28" s="525"/>
    </row>
    <row r="29" spans="1:44" s="515" customFormat="1" ht="22.5" customHeight="1">
      <c r="A29" s="499"/>
      <c r="B29" s="303" t="s">
        <v>1351</v>
      </c>
      <c r="C29" s="524"/>
      <c r="D29" s="522">
        <v>1195</v>
      </c>
      <c r="E29" s="522">
        <v>887</v>
      </c>
      <c r="F29" s="500">
        <v>1036</v>
      </c>
      <c r="G29" s="522"/>
      <c r="H29" s="522">
        <v>7</v>
      </c>
      <c r="I29" s="522">
        <v>239</v>
      </c>
      <c r="J29" s="500">
        <v>209</v>
      </c>
      <c r="K29" s="522"/>
      <c r="L29" s="522">
        <v>3</v>
      </c>
      <c r="M29" s="522">
        <v>6</v>
      </c>
      <c r="N29" s="500">
        <v>9</v>
      </c>
      <c r="O29" s="522"/>
      <c r="P29" s="522">
        <v>205</v>
      </c>
      <c r="Q29" s="522">
        <v>263</v>
      </c>
      <c r="R29" s="500">
        <v>259</v>
      </c>
      <c r="S29" s="522"/>
      <c r="T29" s="522"/>
      <c r="U29" s="522">
        <v>1</v>
      </c>
      <c r="V29" s="500"/>
      <c r="W29" s="522"/>
      <c r="X29" s="522">
        <v>79</v>
      </c>
      <c r="Y29" s="522">
        <v>153</v>
      </c>
      <c r="Z29" s="500">
        <v>514</v>
      </c>
      <c r="AA29" s="524"/>
      <c r="AB29" s="522">
        <f>+X29+T29+P29+L29+H29+D29</f>
        <v>1489</v>
      </c>
      <c r="AC29" s="522">
        <f>+Y29+U29+Q29+M29+I29+E29</f>
        <v>1549</v>
      </c>
      <c r="AD29" s="500">
        <f>+Z29+V29+R29+N29+J29+F29</f>
        <v>2027</v>
      </c>
      <c r="AE29" s="525"/>
    </row>
    <row r="30" spans="1:44" s="515" customFormat="1" ht="22.5" customHeight="1">
      <c r="A30" s="499"/>
      <c r="B30" s="254" t="s">
        <v>1478</v>
      </c>
      <c r="C30" s="524"/>
      <c r="D30" s="522"/>
      <c r="E30" s="522"/>
      <c r="F30" s="500"/>
      <c r="G30" s="522"/>
      <c r="H30" s="522"/>
      <c r="I30" s="522"/>
      <c r="J30" s="500">
        <v>3</v>
      </c>
      <c r="K30" s="522"/>
      <c r="L30" s="522"/>
      <c r="M30" s="522"/>
      <c r="N30" s="500"/>
      <c r="O30" s="522"/>
      <c r="P30" s="522"/>
      <c r="Q30" s="522"/>
      <c r="R30" s="500">
        <v>1</v>
      </c>
      <c r="S30" s="522"/>
      <c r="T30" s="522"/>
      <c r="U30" s="522"/>
      <c r="V30" s="500">
        <v>145</v>
      </c>
      <c r="W30" s="522"/>
      <c r="X30" s="522"/>
      <c r="Y30" s="522"/>
      <c r="Z30" s="500"/>
      <c r="AA30" s="524"/>
      <c r="AB30" s="522"/>
      <c r="AC30" s="522"/>
      <c r="AD30" s="500">
        <f>+Z30+V30+R30+N30+J30+F30</f>
        <v>149</v>
      </c>
      <c r="AE30" s="525"/>
    </row>
    <row r="31" spans="1:44" s="515" customFormat="1" ht="22.5" customHeight="1">
      <c r="A31" s="499"/>
      <c r="B31" s="499" t="s">
        <v>1026</v>
      </c>
      <c r="C31" s="524"/>
      <c r="D31" s="522">
        <v>1</v>
      </c>
      <c r="E31" s="522">
        <v>6</v>
      </c>
      <c r="F31" s="500">
        <v>1</v>
      </c>
      <c r="G31" s="522"/>
      <c r="H31" s="522"/>
      <c r="I31" s="522"/>
      <c r="J31" s="500"/>
      <c r="K31" s="522"/>
      <c r="L31" s="522"/>
      <c r="M31" s="522"/>
      <c r="N31" s="500"/>
      <c r="O31" s="522"/>
      <c r="P31" s="522"/>
      <c r="Q31" s="522"/>
      <c r="R31" s="500"/>
      <c r="S31" s="522"/>
      <c r="T31" s="522"/>
      <c r="U31" s="522"/>
      <c r="V31" s="500"/>
      <c r="W31" s="522"/>
      <c r="X31" s="522"/>
      <c r="Y31" s="522"/>
      <c r="Z31" s="500"/>
      <c r="AA31" s="524">
        <f>+W31+S31+O31+K31+G31+C31</f>
        <v>0</v>
      </c>
      <c r="AB31" s="522">
        <f>+X31+T31+P31+L31+H31+D31</f>
        <v>1</v>
      </c>
      <c r="AC31" s="522">
        <f>+Y31+U31+Q31+M31+I31+E31</f>
        <v>6</v>
      </c>
      <c r="AD31" s="500">
        <f>+Z31+V31+R31+N31+J31+F31</f>
        <v>1</v>
      </c>
      <c r="AE31" s="525"/>
    </row>
    <row r="32" spans="1:44" s="515" customFormat="1" ht="22.5" customHeight="1">
      <c r="A32" s="499"/>
      <c r="B32" s="499" t="s">
        <v>690</v>
      </c>
      <c r="C32" s="377">
        <f t="shared" ref="C32:D32" si="14">SUM(C28:C31)</f>
        <v>6397</v>
      </c>
      <c r="D32" s="378">
        <f t="shared" si="14"/>
        <v>6219</v>
      </c>
      <c r="E32" s="378">
        <f>SUM(E28:E31)</f>
        <v>5525</v>
      </c>
      <c r="F32" s="500">
        <f>SUM(F28:F31)</f>
        <v>6214</v>
      </c>
      <c r="G32" s="377">
        <f t="shared" ref="G32:AD32" si="15">SUM(G28:G31)</f>
        <v>777</v>
      </c>
      <c r="H32" s="378">
        <f t="shared" si="15"/>
        <v>845</v>
      </c>
      <c r="I32" s="378">
        <f t="shared" si="15"/>
        <v>2068</v>
      </c>
      <c r="J32" s="500">
        <f t="shared" si="15"/>
        <v>1608</v>
      </c>
      <c r="K32" s="377">
        <f t="shared" si="15"/>
        <v>49</v>
      </c>
      <c r="L32" s="378">
        <f t="shared" si="15"/>
        <v>29</v>
      </c>
      <c r="M32" s="378">
        <f t="shared" si="15"/>
        <v>33</v>
      </c>
      <c r="N32" s="500">
        <f t="shared" si="15"/>
        <v>113</v>
      </c>
      <c r="O32" s="377">
        <f t="shared" si="15"/>
        <v>1130</v>
      </c>
      <c r="P32" s="378">
        <f t="shared" si="15"/>
        <v>1020</v>
      </c>
      <c r="Q32" s="378">
        <f t="shared" si="15"/>
        <v>1200</v>
      </c>
      <c r="R32" s="500">
        <f t="shared" si="15"/>
        <v>1713</v>
      </c>
      <c r="S32" s="377">
        <f t="shared" si="15"/>
        <v>1102</v>
      </c>
      <c r="T32" s="378">
        <f t="shared" si="15"/>
        <v>317</v>
      </c>
      <c r="U32" s="378">
        <f t="shared" si="15"/>
        <v>303</v>
      </c>
      <c r="V32" s="500">
        <f t="shared" si="15"/>
        <v>419</v>
      </c>
      <c r="W32" s="377">
        <f t="shared" si="15"/>
        <v>273</v>
      </c>
      <c r="X32" s="378">
        <f t="shared" si="15"/>
        <v>277</v>
      </c>
      <c r="Y32" s="378">
        <f t="shared" si="15"/>
        <v>329</v>
      </c>
      <c r="Z32" s="500">
        <f t="shared" si="15"/>
        <v>813</v>
      </c>
      <c r="AA32" s="377">
        <f t="shared" si="15"/>
        <v>9728</v>
      </c>
      <c r="AB32" s="378">
        <f t="shared" si="15"/>
        <v>8707</v>
      </c>
      <c r="AC32" s="378">
        <f t="shared" si="15"/>
        <v>9458</v>
      </c>
      <c r="AD32" s="500">
        <f t="shared" si="15"/>
        <v>10880</v>
      </c>
      <c r="AE32" s="525"/>
    </row>
    <row r="33" spans="1:53" s="515" customFormat="1" ht="22.5" customHeight="1">
      <c r="A33" s="499" t="s">
        <v>582</v>
      </c>
      <c r="B33" s="499" t="s">
        <v>698</v>
      </c>
      <c r="C33" s="524">
        <v>2498</v>
      </c>
      <c r="D33" s="522">
        <v>2624</v>
      </c>
      <c r="E33" s="522">
        <v>2477</v>
      </c>
      <c r="F33" s="500">
        <v>3329</v>
      </c>
      <c r="G33" s="522">
        <v>173</v>
      </c>
      <c r="H33" s="522">
        <v>175</v>
      </c>
      <c r="I33" s="522">
        <v>550</v>
      </c>
      <c r="J33" s="500">
        <v>939</v>
      </c>
      <c r="K33" s="522">
        <v>20</v>
      </c>
      <c r="L33" s="378">
        <v>18</v>
      </c>
      <c r="M33" s="378">
        <v>31</v>
      </c>
      <c r="N33" s="500">
        <v>282</v>
      </c>
      <c r="O33" s="522">
        <v>471</v>
      </c>
      <c r="P33" s="522">
        <v>470</v>
      </c>
      <c r="Q33" s="522">
        <v>478</v>
      </c>
      <c r="R33" s="500">
        <v>565</v>
      </c>
      <c r="S33" s="522">
        <v>55</v>
      </c>
      <c r="T33" s="522">
        <v>57</v>
      </c>
      <c r="U33" s="522">
        <v>47</v>
      </c>
      <c r="V33" s="500">
        <v>40</v>
      </c>
      <c r="W33" s="522">
        <v>2</v>
      </c>
      <c r="X33" s="522">
        <v>25</v>
      </c>
      <c r="Y33" s="522">
        <v>55</v>
      </c>
      <c r="Z33" s="500">
        <v>106</v>
      </c>
      <c r="AA33" s="524">
        <f t="shared" ref="AA33:AC41" si="16">+W33+S33+O33+K33+G33+C33</f>
        <v>3219</v>
      </c>
      <c r="AB33" s="522">
        <f t="shared" si="16"/>
        <v>3369</v>
      </c>
      <c r="AC33" s="522">
        <f t="shared" si="16"/>
        <v>3638</v>
      </c>
      <c r="AD33" s="500">
        <f>+Z33+V33+R33+N33+J33+F33</f>
        <v>5261</v>
      </c>
      <c r="AE33" s="525"/>
    </row>
    <row r="34" spans="1:53" s="515" customFormat="1" ht="22.5" customHeight="1">
      <c r="A34" s="499"/>
      <c r="B34" s="499" t="s">
        <v>900</v>
      </c>
      <c r="C34" s="524">
        <v>552</v>
      </c>
      <c r="D34" s="522">
        <v>583</v>
      </c>
      <c r="E34" s="522">
        <v>526</v>
      </c>
      <c r="F34" s="500">
        <v>631</v>
      </c>
      <c r="G34" s="522">
        <v>49</v>
      </c>
      <c r="H34" s="522">
        <v>62</v>
      </c>
      <c r="I34" s="522">
        <v>113</v>
      </c>
      <c r="J34" s="500">
        <v>239</v>
      </c>
      <c r="K34" s="522">
        <v>4</v>
      </c>
      <c r="L34" s="378">
        <v>1</v>
      </c>
      <c r="M34" s="378">
        <v>9</v>
      </c>
      <c r="N34" s="500">
        <v>57</v>
      </c>
      <c r="O34" s="522">
        <v>80</v>
      </c>
      <c r="P34" s="522">
        <v>66</v>
      </c>
      <c r="Q34" s="522">
        <v>64</v>
      </c>
      <c r="R34" s="500">
        <v>83</v>
      </c>
      <c r="S34" s="522">
        <v>16</v>
      </c>
      <c r="T34" s="522">
        <v>15</v>
      </c>
      <c r="U34" s="522">
        <v>7</v>
      </c>
      <c r="V34" s="500">
        <v>13</v>
      </c>
      <c r="W34" s="522">
        <v>0</v>
      </c>
      <c r="X34" s="522">
        <v>4</v>
      </c>
      <c r="Y34" s="522">
        <v>0</v>
      </c>
      <c r="Z34" s="500">
        <v>10</v>
      </c>
      <c r="AA34" s="524">
        <f>+W34+S34+O34+K34+G34+C34</f>
        <v>701</v>
      </c>
      <c r="AB34" s="522">
        <f>+X34+T34+P34+L34+H34+D34</f>
        <v>731</v>
      </c>
      <c r="AC34" s="522">
        <f>+Y34+U34+Q34+M34+I34+E34</f>
        <v>719</v>
      </c>
      <c r="AD34" s="500">
        <f>+Z34+V34+R34+N34+J34+F34</f>
        <v>1033</v>
      </c>
      <c r="AE34" s="525"/>
    </row>
    <row r="35" spans="1:53" s="515" customFormat="1" ht="22.5" customHeight="1">
      <c r="A35" s="499"/>
      <c r="B35" s="303" t="s">
        <v>1352</v>
      </c>
      <c r="C35" s="524"/>
      <c r="D35" s="522">
        <v>163</v>
      </c>
      <c r="E35" s="522">
        <v>143</v>
      </c>
      <c r="F35" s="500">
        <v>129</v>
      </c>
      <c r="G35" s="522"/>
      <c r="H35" s="522">
        <v>7</v>
      </c>
      <c r="I35" s="522">
        <v>26</v>
      </c>
      <c r="J35" s="500">
        <v>87</v>
      </c>
      <c r="K35" s="522"/>
      <c r="L35" s="378"/>
      <c r="M35" s="378">
        <v>1</v>
      </c>
      <c r="N35" s="500">
        <v>21</v>
      </c>
      <c r="O35" s="522"/>
      <c r="P35" s="522">
        <v>33</v>
      </c>
      <c r="Q35" s="522">
        <v>39</v>
      </c>
      <c r="R35" s="500">
        <v>33</v>
      </c>
      <c r="S35" s="522"/>
      <c r="T35" s="522">
        <v>2</v>
      </c>
      <c r="U35" s="522">
        <v>3</v>
      </c>
      <c r="V35" s="500"/>
      <c r="W35" s="522"/>
      <c r="X35" s="522">
        <v>2</v>
      </c>
      <c r="Y35" s="522">
        <v>1</v>
      </c>
      <c r="Z35" s="500">
        <v>12</v>
      </c>
      <c r="AA35" s="524"/>
      <c r="AB35" s="522">
        <f>+X35+T35+P35+L35+H35+D35</f>
        <v>207</v>
      </c>
      <c r="AC35" s="522">
        <f>+Y35+U35+Q35+M35+I35+E35</f>
        <v>213</v>
      </c>
      <c r="AD35" s="500">
        <f>+Z35+V35+R35+N35+J35+F35</f>
        <v>282</v>
      </c>
      <c r="AE35" s="525"/>
    </row>
    <row r="36" spans="1:53" s="515" customFormat="1" ht="22.5" customHeight="1">
      <c r="A36" s="499"/>
      <c r="B36" s="499" t="s">
        <v>690</v>
      </c>
      <c r="C36" s="377">
        <f>SUM(C33:C35)</f>
        <v>3050</v>
      </c>
      <c r="D36" s="378">
        <f t="shared" ref="D36:AD36" si="17">SUM(D33:D35)</f>
        <v>3370</v>
      </c>
      <c r="E36" s="378">
        <f t="shared" si="17"/>
        <v>3146</v>
      </c>
      <c r="F36" s="378">
        <f t="shared" si="17"/>
        <v>4089</v>
      </c>
      <c r="G36" s="377">
        <f t="shared" si="17"/>
        <v>222</v>
      </c>
      <c r="H36" s="378">
        <f t="shared" si="17"/>
        <v>244</v>
      </c>
      <c r="I36" s="378">
        <f t="shared" si="17"/>
        <v>689</v>
      </c>
      <c r="J36" s="378">
        <f t="shared" si="17"/>
        <v>1265</v>
      </c>
      <c r="K36" s="377">
        <f t="shared" si="17"/>
        <v>24</v>
      </c>
      <c r="L36" s="378">
        <f t="shared" si="17"/>
        <v>19</v>
      </c>
      <c r="M36" s="378">
        <f t="shared" si="17"/>
        <v>41</v>
      </c>
      <c r="N36" s="378">
        <f t="shared" si="17"/>
        <v>360</v>
      </c>
      <c r="O36" s="377">
        <f t="shared" si="17"/>
        <v>551</v>
      </c>
      <c r="P36" s="378">
        <f t="shared" si="17"/>
        <v>569</v>
      </c>
      <c r="Q36" s="378">
        <f t="shared" si="17"/>
        <v>581</v>
      </c>
      <c r="R36" s="378">
        <f t="shared" si="17"/>
        <v>681</v>
      </c>
      <c r="S36" s="377">
        <f t="shared" si="17"/>
        <v>71</v>
      </c>
      <c r="T36" s="378">
        <f t="shared" si="17"/>
        <v>74</v>
      </c>
      <c r="U36" s="378">
        <f t="shared" si="17"/>
        <v>57</v>
      </c>
      <c r="V36" s="378">
        <f t="shared" si="17"/>
        <v>53</v>
      </c>
      <c r="W36" s="377">
        <f t="shared" si="17"/>
        <v>2</v>
      </c>
      <c r="X36" s="378">
        <f t="shared" si="17"/>
        <v>31</v>
      </c>
      <c r="Y36" s="378">
        <f t="shared" si="17"/>
        <v>56</v>
      </c>
      <c r="Z36" s="378">
        <f t="shared" si="17"/>
        <v>128</v>
      </c>
      <c r="AA36" s="377">
        <f t="shared" si="17"/>
        <v>3920</v>
      </c>
      <c r="AB36" s="378">
        <f t="shared" si="17"/>
        <v>4307</v>
      </c>
      <c r="AC36" s="378">
        <f t="shared" si="17"/>
        <v>4570</v>
      </c>
      <c r="AD36" s="500">
        <f t="shared" si="17"/>
        <v>6576</v>
      </c>
      <c r="AE36" s="361"/>
    </row>
    <row r="37" spans="1:53" s="515" customFormat="1" ht="22.5" customHeight="1">
      <c r="A37" s="499" t="s">
        <v>583</v>
      </c>
      <c r="B37" s="499" t="s">
        <v>901</v>
      </c>
      <c r="C37" s="524">
        <v>2262</v>
      </c>
      <c r="D37" s="522">
        <v>2157</v>
      </c>
      <c r="E37" s="522">
        <v>2726</v>
      </c>
      <c r="F37" s="500">
        <v>3325</v>
      </c>
      <c r="G37" s="522">
        <v>295</v>
      </c>
      <c r="H37" s="522">
        <v>364</v>
      </c>
      <c r="I37" s="522">
        <v>304</v>
      </c>
      <c r="J37" s="500">
        <v>276</v>
      </c>
      <c r="K37" s="378">
        <v>19</v>
      </c>
      <c r="L37" s="378">
        <v>7</v>
      </c>
      <c r="M37" s="378">
        <v>5</v>
      </c>
      <c r="N37" s="500">
        <v>170</v>
      </c>
      <c r="O37" s="378">
        <v>489</v>
      </c>
      <c r="P37" s="378">
        <v>623</v>
      </c>
      <c r="Q37" s="378">
        <v>608</v>
      </c>
      <c r="R37" s="500">
        <v>585</v>
      </c>
      <c r="S37" s="522">
        <v>200</v>
      </c>
      <c r="T37" s="522">
        <v>196</v>
      </c>
      <c r="U37" s="522">
        <v>137</v>
      </c>
      <c r="V37" s="500">
        <v>61</v>
      </c>
      <c r="W37" s="522">
        <v>22</v>
      </c>
      <c r="X37" s="522">
        <v>7</v>
      </c>
      <c r="Y37" s="522"/>
      <c r="Z37" s="500"/>
      <c r="AA37" s="524">
        <f t="shared" si="16"/>
        <v>3287</v>
      </c>
      <c r="AB37" s="522">
        <f t="shared" si="16"/>
        <v>3354</v>
      </c>
      <c r="AC37" s="522">
        <f t="shared" si="16"/>
        <v>3780</v>
      </c>
      <c r="AD37" s="500">
        <f>+Z37+V37+R37+N37+J37+F37</f>
        <v>4417</v>
      </c>
      <c r="AE37" s="525"/>
    </row>
    <row r="38" spans="1:53" s="515" customFormat="1" ht="22.5" customHeight="1">
      <c r="A38" s="499" t="s">
        <v>1027</v>
      </c>
      <c r="B38" s="499" t="s">
        <v>902</v>
      </c>
      <c r="C38" s="524">
        <v>6137</v>
      </c>
      <c r="D38" s="522">
        <v>6669</v>
      </c>
      <c r="E38" s="522">
        <v>6945</v>
      </c>
      <c r="F38" s="500">
        <v>6703</v>
      </c>
      <c r="G38" s="522">
        <v>1098</v>
      </c>
      <c r="H38" s="522">
        <v>1164</v>
      </c>
      <c r="I38" s="522">
        <v>1138</v>
      </c>
      <c r="J38" s="500">
        <v>1208</v>
      </c>
      <c r="K38" s="378">
        <v>11</v>
      </c>
      <c r="L38" s="378">
        <v>2</v>
      </c>
      <c r="M38" s="378">
        <v>7</v>
      </c>
      <c r="N38" s="500">
        <v>27</v>
      </c>
      <c r="O38" s="378">
        <v>835</v>
      </c>
      <c r="P38" s="378">
        <v>1368</v>
      </c>
      <c r="Q38" s="378">
        <v>1153</v>
      </c>
      <c r="R38" s="500">
        <v>1352</v>
      </c>
      <c r="S38" s="522">
        <v>343</v>
      </c>
      <c r="T38" s="522">
        <v>220</v>
      </c>
      <c r="U38" s="522">
        <v>136</v>
      </c>
      <c r="V38" s="500">
        <v>131</v>
      </c>
      <c r="W38" s="522">
        <v>103</v>
      </c>
      <c r="X38" s="522"/>
      <c r="Y38" s="522"/>
      <c r="Z38" s="500"/>
      <c r="AA38" s="524">
        <f t="shared" si="16"/>
        <v>8527</v>
      </c>
      <c r="AB38" s="522">
        <f t="shared" si="16"/>
        <v>9423</v>
      </c>
      <c r="AC38" s="522">
        <f t="shared" si="16"/>
        <v>9379</v>
      </c>
      <c r="AD38" s="500">
        <f>+Z38+V38+R38+N38+J38+F38</f>
        <v>9421</v>
      </c>
      <c r="AE38" s="525"/>
    </row>
    <row r="39" spans="1:53" s="515" customFormat="1" ht="22.5" customHeight="1">
      <c r="A39" s="499"/>
      <c r="B39" s="254" t="s">
        <v>1062</v>
      </c>
      <c r="C39" s="524"/>
      <c r="D39" s="522"/>
      <c r="E39" s="522"/>
      <c r="F39" s="500">
        <v>104</v>
      </c>
      <c r="G39" s="522"/>
      <c r="H39" s="522"/>
      <c r="I39" s="522"/>
      <c r="J39" s="500"/>
      <c r="K39" s="378"/>
      <c r="L39" s="378"/>
      <c r="M39" s="378"/>
      <c r="N39" s="500"/>
      <c r="O39" s="378"/>
      <c r="P39" s="378"/>
      <c r="Q39" s="378"/>
      <c r="R39" s="500">
        <v>2</v>
      </c>
      <c r="S39" s="522"/>
      <c r="T39" s="522"/>
      <c r="U39" s="522"/>
      <c r="V39" s="500">
        <v>52</v>
      </c>
      <c r="W39" s="522"/>
      <c r="X39" s="522"/>
      <c r="Y39" s="522"/>
      <c r="Z39" s="500"/>
      <c r="AA39" s="524"/>
      <c r="AB39" s="522"/>
      <c r="AC39" s="522"/>
      <c r="AD39" s="500">
        <f>+Z39+V39+R39+N39+J39+F39</f>
        <v>158</v>
      </c>
      <c r="AE39" s="525"/>
    </row>
    <row r="40" spans="1:53" s="515" customFormat="1" ht="22.5" customHeight="1">
      <c r="A40" s="499" t="s">
        <v>585</v>
      </c>
      <c r="B40" s="499" t="s">
        <v>903</v>
      </c>
      <c r="C40" s="524">
        <v>4010</v>
      </c>
      <c r="D40" s="522">
        <v>3626</v>
      </c>
      <c r="E40" s="522">
        <v>3225</v>
      </c>
      <c r="F40" s="500">
        <v>3483</v>
      </c>
      <c r="G40" s="522">
        <v>191</v>
      </c>
      <c r="H40" s="522">
        <v>518</v>
      </c>
      <c r="I40" s="522">
        <v>365</v>
      </c>
      <c r="J40" s="500">
        <v>1122</v>
      </c>
      <c r="K40" s="378">
        <v>75</v>
      </c>
      <c r="L40" s="378">
        <v>367</v>
      </c>
      <c r="M40" s="378">
        <v>243</v>
      </c>
      <c r="N40" s="500">
        <v>98</v>
      </c>
      <c r="O40" s="378">
        <v>877</v>
      </c>
      <c r="P40" s="378">
        <v>544</v>
      </c>
      <c r="Q40" s="378">
        <v>611</v>
      </c>
      <c r="R40" s="500">
        <v>662</v>
      </c>
      <c r="S40" s="522">
        <v>59</v>
      </c>
      <c r="T40" s="522">
        <v>83</v>
      </c>
      <c r="U40" s="522">
        <v>98</v>
      </c>
      <c r="V40" s="500">
        <v>105</v>
      </c>
      <c r="W40" s="522">
        <v>211</v>
      </c>
      <c r="X40" s="522">
        <v>16</v>
      </c>
      <c r="Y40" s="522">
        <v>69</v>
      </c>
      <c r="Z40" s="500">
        <v>38</v>
      </c>
      <c r="AA40" s="524">
        <f t="shared" si="16"/>
        <v>5423</v>
      </c>
      <c r="AB40" s="522">
        <f t="shared" si="16"/>
        <v>5154</v>
      </c>
      <c r="AC40" s="522">
        <f t="shared" si="16"/>
        <v>4611</v>
      </c>
      <c r="AD40" s="500">
        <f>+Z40+V40+R40+N40+J40+F40</f>
        <v>5508</v>
      </c>
      <c r="AE40" s="525"/>
    </row>
    <row r="41" spans="1:53" s="515" customFormat="1" ht="22.5" customHeight="1">
      <c r="A41" s="499"/>
      <c r="B41" s="254" t="s">
        <v>1343</v>
      </c>
      <c r="C41" s="524"/>
      <c r="D41" s="522">
        <v>412</v>
      </c>
      <c r="E41" s="522">
        <v>397</v>
      </c>
      <c r="F41" s="500">
        <v>212</v>
      </c>
      <c r="G41" s="522"/>
      <c r="H41" s="522">
        <v>75</v>
      </c>
      <c r="I41" s="522">
        <v>40</v>
      </c>
      <c r="J41" s="500">
        <v>181</v>
      </c>
      <c r="K41" s="378"/>
      <c r="L41" s="378">
        <v>88</v>
      </c>
      <c r="M41" s="378">
        <v>45</v>
      </c>
      <c r="N41" s="500">
        <v>48</v>
      </c>
      <c r="O41" s="378"/>
      <c r="P41" s="378">
        <v>72</v>
      </c>
      <c r="Q41" s="378">
        <v>45</v>
      </c>
      <c r="R41" s="500">
        <v>101</v>
      </c>
      <c r="S41" s="522"/>
      <c r="T41" s="522"/>
      <c r="U41" s="522"/>
      <c r="V41" s="500"/>
      <c r="W41" s="522"/>
      <c r="X41" s="522">
        <v>12</v>
      </c>
      <c r="Y41" s="522">
        <v>33</v>
      </c>
      <c r="Z41" s="500">
        <v>22</v>
      </c>
      <c r="AA41" s="524"/>
      <c r="AB41" s="522">
        <f t="shared" si="16"/>
        <v>659</v>
      </c>
      <c r="AC41" s="522">
        <f t="shared" si="16"/>
        <v>560</v>
      </c>
      <c r="AD41" s="500">
        <f>+Z41+V41+R41+N41+J41+F41</f>
        <v>564</v>
      </c>
      <c r="AE41" s="525"/>
    </row>
    <row r="42" spans="1:53" s="515" customFormat="1" ht="22.5" customHeight="1">
      <c r="A42" s="499"/>
      <c r="B42" s="499" t="s">
        <v>690</v>
      </c>
      <c r="C42" s="377">
        <f t="shared" ref="C42:D42" si="18">SUM(C40:C41)</f>
        <v>4010</v>
      </c>
      <c r="D42" s="378">
        <f t="shared" si="18"/>
        <v>4038</v>
      </c>
      <c r="E42" s="378">
        <f>SUM(E40:E41)</f>
        <v>3622</v>
      </c>
      <c r="F42" s="500">
        <f>SUM(F40:F41)</f>
        <v>3695</v>
      </c>
      <c r="G42" s="377">
        <f t="shared" ref="G42:AD42" si="19">SUM(G40:G41)</f>
        <v>191</v>
      </c>
      <c r="H42" s="378">
        <f t="shared" si="19"/>
        <v>593</v>
      </c>
      <c r="I42" s="378">
        <f t="shared" si="19"/>
        <v>405</v>
      </c>
      <c r="J42" s="500">
        <f t="shared" si="19"/>
        <v>1303</v>
      </c>
      <c r="K42" s="377">
        <f t="shared" si="19"/>
        <v>75</v>
      </c>
      <c r="L42" s="378">
        <f t="shared" si="19"/>
        <v>455</v>
      </c>
      <c r="M42" s="378">
        <f t="shared" si="19"/>
        <v>288</v>
      </c>
      <c r="N42" s="500">
        <f t="shared" si="19"/>
        <v>146</v>
      </c>
      <c r="O42" s="377">
        <f t="shared" si="19"/>
        <v>877</v>
      </c>
      <c r="P42" s="378">
        <f t="shared" si="19"/>
        <v>616</v>
      </c>
      <c r="Q42" s="378">
        <f t="shared" si="19"/>
        <v>656</v>
      </c>
      <c r="R42" s="500">
        <f t="shared" si="19"/>
        <v>763</v>
      </c>
      <c r="S42" s="377">
        <f t="shared" si="19"/>
        <v>59</v>
      </c>
      <c r="T42" s="378">
        <f t="shared" si="19"/>
        <v>83</v>
      </c>
      <c r="U42" s="378">
        <f t="shared" si="19"/>
        <v>98</v>
      </c>
      <c r="V42" s="500">
        <f t="shared" si="19"/>
        <v>105</v>
      </c>
      <c r="W42" s="377">
        <f t="shared" si="19"/>
        <v>211</v>
      </c>
      <c r="X42" s="378">
        <f t="shared" si="19"/>
        <v>28</v>
      </c>
      <c r="Y42" s="378">
        <f t="shared" si="19"/>
        <v>102</v>
      </c>
      <c r="Z42" s="500">
        <f t="shared" si="19"/>
        <v>60</v>
      </c>
      <c r="AA42" s="377">
        <f t="shared" si="19"/>
        <v>5423</v>
      </c>
      <c r="AB42" s="378">
        <f t="shared" si="19"/>
        <v>5813</v>
      </c>
      <c r="AC42" s="378">
        <f t="shared" si="19"/>
        <v>5171</v>
      </c>
      <c r="AD42" s="500">
        <f t="shared" si="19"/>
        <v>6072</v>
      </c>
      <c r="AE42" s="525"/>
    </row>
    <row r="43" spans="1:53" s="6" customFormat="1" ht="22.5" customHeight="1">
      <c r="A43" s="509" t="s">
        <v>1028</v>
      </c>
      <c r="B43" s="505"/>
      <c r="C43" s="507">
        <f t="shared" ref="C43" si="20">+C27+C32+C36+C37+C38+C42+C39</f>
        <v>39785</v>
      </c>
      <c r="D43" s="507">
        <f>+D27+D32+D36+D37+D38+D42+D39</f>
        <v>41637</v>
      </c>
      <c r="E43" s="507">
        <f>+E27+E32+E36+E37+E38+E42+E39</f>
        <v>41664</v>
      </c>
      <c r="F43" s="508">
        <f>+F27+F32+F36+F37+F38+F42+F39</f>
        <v>44754</v>
      </c>
      <c r="G43" s="507">
        <f t="shared" ref="G43:K43" si="21">+G27+G32+G36+G37+G38+G42+G39</f>
        <v>5326</v>
      </c>
      <c r="H43" s="507">
        <f t="shared" si="21"/>
        <v>5666</v>
      </c>
      <c r="I43" s="507">
        <f t="shared" si="21"/>
        <v>7231</v>
      </c>
      <c r="J43" s="508">
        <f t="shared" si="21"/>
        <v>9549</v>
      </c>
      <c r="K43" s="507">
        <f t="shared" si="21"/>
        <v>284</v>
      </c>
      <c r="L43" s="507">
        <f>+L27+L32+L36+L37+L38+L42+L39</f>
        <v>667</v>
      </c>
      <c r="M43" s="507">
        <f t="shared" ref="M43:AD43" si="22">+M27+M32+M36+M37+M38+M42+M39</f>
        <v>558</v>
      </c>
      <c r="N43" s="508">
        <f t="shared" si="22"/>
        <v>1047</v>
      </c>
      <c r="O43" s="507">
        <f t="shared" si="22"/>
        <v>6786</v>
      </c>
      <c r="P43" s="507">
        <f t="shared" si="22"/>
        <v>6938</v>
      </c>
      <c r="Q43" s="507">
        <f t="shared" si="22"/>
        <v>7182</v>
      </c>
      <c r="R43" s="508">
        <f t="shared" si="22"/>
        <v>9306</v>
      </c>
      <c r="S43" s="507">
        <f t="shared" si="22"/>
        <v>2552</v>
      </c>
      <c r="T43" s="507">
        <f t="shared" si="22"/>
        <v>1930</v>
      </c>
      <c r="U43" s="507">
        <f t="shared" si="22"/>
        <v>1682</v>
      </c>
      <c r="V43" s="508">
        <f t="shared" si="22"/>
        <v>1852</v>
      </c>
      <c r="W43" s="507">
        <f t="shared" si="22"/>
        <v>693</v>
      </c>
      <c r="X43" s="507">
        <f t="shared" si="22"/>
        <v>361</v>
      </c>
      <c r="Y43" s="507">
        <f t="shared" si="22"/>
        <v>624</v>
      </c>
      <c r="Z43" s="508">
        <f t="shared" si="22"/>
        <v>1017</v>
      </c>
      <c r="AA43" s="507">
        <f t="shared" si="22"/>
        <v>55426</v>
      </c>
      <c r="AB43" s="507">
        <f t="shared" si="22"/>
        <v>57199</v>
      </c>
      <c r="AC43" s="507">
        <f t="shared" si="22"/>
        <v>58941</v>
      </c>
      <c r="AD43" s="508">
        <f t="shared" si="22"/>
        <v>67525</v>
      </c>
      <c r="AE43" s="361"/>
    </row>
    <row r="44" spans="1:53" s="515" customFormat="1" ht="22.5" customHeight="1">
      <c r="A44" s="1237" t="s">
        <v>706</v>
      </c>
      <c r="B44" s="1239"/>
      <c r="C44" s="527">
        <f t="shared" ref="C44:AD44" si="23">+C22+C43</f>
        <v>62428</v>
      </c>
      <c r="D44" s="528">
        <f t="shared" si="23"/>
        <v>66310</v>
      </c>
      <c r="E44" s="528">
        <f t="shared" si="23"/>
        <v>64700</v>
      </c>
      <c r="F44" s="512">
        <f t="shared" si="23"/>
        <v>68826</v>
      </c>
      <c r="G44" s="527">
        <f t="shared" si="23"/>
        <v>9925</v>
      </c>
      <c r="H44" s="528">
        <f t="shared" si="23"/>
        <v>10038</v>
      </c>
      <c r="I44" s="528">
        <f t="shared" si="23"/>
        <v>11667</v>
      </c>
      <c r="J44" s="512">
        <f t="shared" si="23"/>
        <v>15433</v>
      </c>
      <c r="K44" s="528">
        <f t="shared" si="23"/>
        <v>389</v>
      </c>
      <c r="L44" s="528">
        <f t="shared" si="23"/>
        <v>827</v>
      </c>
      <c r="M44" s="528">
        <f t="shared" si="23"/>
        <v>745</v>
      </c>
      <c r="N44" s="512">
        <f t="shared" si="23"/>
        <v>1619</v>
      </c>
      <c r="O44" s="527">
        <f t="shared" si="23"/>
        <v>10262</v>
      </c>
      <c r="P44" s="528">
        <f t="shared" si="23"/>
        <v>11107</v>
      </c>
      <c r="Q44" s="528">
        <f t="shared" si="23"/>
        <v>10873</v>
      </c>
      <c r="R44" s="512">
        <f t="shared" si="23"/>
        <v>15105</v>
      </c>
      <c r="S44" s="528">
        <f t="shared" si="23"/>
        <v>3229</v>
      </c>
      <c r="T44" s="528">
        <f t="shared" si="23"/>
        <v>2487</v>
      </c>
      <c r="U44" s="528">
        <f t="shared" si="23"/>
        <v>2320</v>
      </c>
      <c r="V44" s="512">
        <f t="shared" si="23"/>
        <v>2884</v>
      </c>
      <c r="W44" s="528">
        <f t="shared" si="23"/>
        <v>1334</v>
      </c>
      <c r="X44" s="528">
        <f t="shared" si="23"/>
        <v>1083</v>
      </c>
      <c r="Y44" s="528">
        <f t="shared" si="23"/>
        <v>1192</v>
      </c>
      <c r="Z44" s="512">
        <f t="shared" si="23"/>
        <v>1162</v>
      </c>
      <c r="AA44" s="527">
        <f t="shared" si="23"/>
        <v>87567</v>
      </c>
      <c r="AB44" s="528">
        <f t="shared" si="23"/>
        <v>91852</v>
      </c>
      <c r="AC44" s="528">
        <f t="shared" si="23"/>
        <v>91497</v>
      </c>
      <c r="AD44" s="512">
        <f t="shared" si="23"/>
        <v>105029</v>
      </c>
      <c r="AE44" s="526"/>
      <c r="AF44" s="519"/>
      <c r="AG44" s="519"/>
      <c r="AH44" s="519"/>
      <c r="AI44" s="519"/>
      <c r="AJ44" s="519"/>
      <c r="AK44" s="519"/>
      <c r="AL44" s="519"/>
      <c r="AM44" s="519"/>
      <c r="AN44" s="519"/>
      <c r="AO44" s="519"/>
      <c r="AP44" s="519"/>
      <c r="AQ44" s="519"/>
      <c r="AR44" s="519"/>
      <c r="AS44" s="519"/>
      <c r="AT44" s="519"/>
      <c r="AU44" s="519"/>
      <c r="AV44" s="519"/>
      <c r="AW44" s="519"/>
      <c r="AX44" s="519"/>
      <c r="AY44" s="519"/>
      <c r="AZ44" s="519"/>
      <c r="BA44" s="519"/>
    </row>
    <row r="45" spans="1:53">
      <c r="C45" s="529"/>
      <c r="D45" s="529"/>
      <c r="E45" s="529"/>
      <c r="F45" s="529"/>
      <c r="G45" s="529"/>
      <c r="H45" s="529"/>
      <c r="I45" s="529"/>
      <c r="J45" s="529"/>
      <c r="K45" s="529"/>
      <c r="L45" s="529"/>
      <c r="M45" s="529"/>
      <c r="N45" s="529"/>
      <c r="O45" s="529"/>
      <c r="P45" s="529"/>
      <c r="Q45" s="529"/>
      <c r="R45" s="529"/>
      <c r="S45" s="529"/>
      <c r="T45" s="529"/>
      <c r="U45" s="529"/>
      <c r="V45" s="529"/>
      <c r="W45" s="529"/>
      <c r="X45" s="529"/>
      <c r="Y45" s="529"/>
      <c r="Z45" s="529"/>
      <c r="AA45" s="529"/>
      <c r="AB45" s="529"/>
      <c r="AC45" s="529"/>
      <c r="AD45" s="529"/>
      <c r="AE45" s="529"/>
    </row>
    <row r="46" spans="1:53">
      <c r="C46" s="529"/>
      <c r="D46" s="529"/>
      <c r="E46" s="529"/>
      <c r="F46" s="520"/>
      <c r="G46" s="520"/>
      <c r="H46" s="520"/>
      <c r="I46" s="520"/>
      <c r="J46" s="520"/>
      <c r="K46" s="520"/>
      <c r="L46" s="520"/>
      <c r="M46" s="520"/>
      <c r="N46" s="520"/>
      <c r="O46" s="520"/>
      <c r="P46" s="520"/>
      <c r="Q46" s="520"/>
      <c r="R46" s="520"/>
      <c r="S46" s="520"/>
      <c r="T46" s="520"/>
      <c r="U46" s="520"/>
      <c r="V46" s="520"/>
      <c r="W46" s="520"/>
      <c r="X46" s="520"/>
      <c r="Y46" s="520"/>
      <c r="Z46" s="520"/>
      <c r="AA46" s="520"/>
      <c r="AB46" s="520"/>
      <c r="AC46" s="520"/>
      <c r="AD46" s="520"/>
      <c r="AE46" s="529"/>
    </row>
    <row r="47" spans="1:53">
      <c r="C47" s="529"/>
      <c r="D47" s="529"/>
      <c r="E47" s="529"/>
      <c r="F47" s="520"/>
      <c r="G47" s="520"/>
      <c r="H47" s="520"/>
      <c r="I47" s="520"/>
      <c r="J47" s="520"/>
      <c r="K47" s="520"/>
      <c r="L47" s="520"/>
      <c r="M47" s="520"/>
      <c r="N47" s="520"/>
      <c r="O47" s="520"/>
      <c r="P47" s="520"/>
      <c r="Q47" s="520"/>
      <c r="R47" s="520"/>
      <c r="S47" s="520"/>
      <c r="T47" s="520"/>
      <c r="U47" s="520"/>
      <c r="V47" s="520"/>
      <c r="W47" s="520"/>
      <c r="X47" s="520"/>
      <c r="Y47" s="520"/>
      <c r="Z47" s="520"/>
      <c r="AA47" s="520"/>
      <c r="AB47" s="520"/>
      <c r="AC47" s="520"/>
      <c r="AD47" s="520"/>
      <c r="AE47" s="529"/>
    </row>
    <row r="48" spans="1:53">
      <c r="C48" s="529"/>
      <c r="D48" s="529"/>
      <c r="E48" s="529"/>
      <c r="F48" s="520"/>
      <c r="G48" s="520"/>
      <c r="H48" s="520"/>
      <c r="I48" s="520"/>
      <c r="J48" s="520"/>
      <c r="K48" s="520"/>
      <c r="L48" s="520"/>
      <c r="M48" s="520"/>
      <c r="N48" s="520"/>
      <c r="O48" s="520"/>
      <c r="P48" s="520"/>
      <c r="Q48" s="520"/>
      <c r="R48" s="520"/>
      <c r="S48" s="520"/>
      <c r="T48" s="520"/>
      <c r="U48" s="520"/>
      <c r="V48" s="520"/>
      <c r="W48" s="520"/>
      <c r="X48" s="520"/>
      <c r="Y48" s="520"/>
      <c r="Z48" s="520"/>
      <c r="AA48" s="520"/>
      <c r="AB48" s="520"/>
      <c r="AC48" s="520"/>
      <c r="AD48" s="520"/>
      <c r="AE48" s="529"/>
    </row>
    <row r="49" spans="3:31">
      <c r="C49" s="529"/>
      <c r="D49" s="529"/>
      <c r="E49" s="529"/>
      <c r="F49" s="520"/>
      <c r="G49" s="517"/>
      <c r="H49" s="517"/>
      <c r="I49" s="517"/>
      <c r="J49" s="520"/>
      <c r="K49" s="517"/>
      <c r="L49" s="517"/>
      <c r="M49" s="517"/>
      <c r="N49" s="520"/>
      <c r="O49" s="517"/>
      <c r="P49" s="517"/>
      <c r="Q49" s="517"/>
      <c r="R49" s="520"/>
      <c r="S49" s="517"/>
      <c r="T49" s="517"/>
      <c r="U49" s="517"/>
      <c r="V49" s="520"/>
      <c r="W49" s="517"/>
      <c r="X49" s="517"/>
      <c r="Y49" s="517"/>
      <c r="Z49" s="520"/>
      <c r="AA49" s="517"/>
      <c r="AB49" s="517"/>
      <c r="AC49" s="517"/>
      <c r="AD49" s="520"/>
      <c r="AE49" s="529"/>
    </row>
    <row r="50" spans="3:31">
      <c r="C50" s="529"/>
      <c r="D50" s="529"/>
      <c r="E50" s="529"/>
      <c r="F50" s="529"/>
      <c r="G50" s="529"/>
      <c r="H50" s="529"/>
      <c r="I50" s="529"/>
      <c r="J50" s="529"/>
      <c r="K50" s="529"/>
      <c r="L50" s="529"/>
      <c r="M50" s="529"/>
      <c r="N50" s="529"/>
      <c r="O50" s="529"/>
      <c r="P50" s="529"/>
      <c r="Q50" s="529"/>
      <c r="R50" s="529"/>
      <c r="S50" s="529"/>
      <c r="T50" s="529"/>
      <c r="U50" s="529"/>
      <c r="V50" s="529"/>
      <c r="W50" s="529"/>
      <c r="X50" s="529"/>
      <c r="Y50" s="529"/>
      <c r="Z50" s="529"/>
      <c r="AA50" s="529"/>
      <c r="AB50" s="529"/>
      <c r="AC50" s="529"/>
      <c r="AD50" s="529"/>
      <c r="AE50" s="529"/>
    </row>
    <row r="51" spans="3:31">
      <c r="C51" s="529"/>
      <c r="D51" s="529"/>
      <c r="E51" s="529"/>
      <c r="F51" s="529"/>
      <c r="G51" s="529"/>
      <c r="H51" s="529"/>
      <c r="I51" s="529"/>
      <c r="J51" s="529"/>
      <c r="K51" s="529"/>
      <c r="L51" s="529"/>
      <c r="M51" s="529"/>
      <c r="N51" s="529"/>
      <c r="O51" s="529"/>
      <c r="P51" s="529"/>
      <c r="Q51" s="529"/>
      <c r="R51" s="529"/>
      <c r="S51" s="529"/>
      <c r="T51" s="529"/>
      <c r="U51" s="529"/>
      <c r="V51" s="529"/>
      <c r="W51" s="529"/>
      <c r="X51" s="529"/>
      <c r="Y51" s="529"/>
      <c r="Z51" s="529"/>
      <c r="AA51" s="529"/>
      <c r="AB51" s="529"/>
      <c r="AC51" s="529"/>
      <c r="AD51" s="529"/>
      <c r="AE51" s="529"/>
    </row>
    <row r="52" spans="3:31">
      <c r="C52" s="529"/>
      <c r="D52" s="529"/>
      <c r="E52" s="529"/>
      <c r="F52" s="529"/>
      <c r="G52" s="529"/>
      <c r="H52" s="529"/>
      <c r="I52" s="529"/>
      <c r="J52" s="529"/>
      <c r="K52" s="529"/>
      <c r="L52" s="529"/>
      <c r="M52" s="529"/>
      <c r="N52" s="529"/>
      <c r="O52" s="529"/>
      <c r="P52" s="529"/>
      <c r="Q52" s="529"/>
      <c r="R52" s="529"/>
      <c r="S52" s="529"/>
      <c r="T52" s="529"/>
      <c r="U52" s="529"/>
      <c r="V52" s="529"/>
      <c r="W52" s="529"/>
      <c r="X52" s="529"/>
      <c r="Y52" s="529"/>
      <c r="Z52" s="529"/>
      <c r="AA52" s="529"/>
      <c r="AB52" s="529"/>
      <c r="AC52" s="529"/>
      <c r="AD52" s="529"/>
      <c r="AE52" s="529"/>
    </row>
    <row r="53" spans="3:31">
      <c r="C53" s="529"/>
      <c r="D53" s="529"/>
      <c r="E53" s="529"/>
      <c r="F53" s="529"/>
      <c r="G53" s="529"/>
      <c r="H53" s="529"/>
      <c r="I53" s="529"/>
      <c r="J53" s="529"/>
      <c r="K53" s="529"/>
      <c r="L53" s="529"/>
      <c r="M53" s="529"/>
      <c r="N53" s="529"/>
      <c r="O53" s="529"/>
      <c r="P53" s="529"/>
      <c r="Q53" s="529"/>
      <c r="R53" s="529"/>
      <c r="S53" s="529"/>
      <c r="T53" s="529"/>
      <c r="U53" s="529"/>
      <c r="V53" s="529"/>
      <c r="W53" s="529"/>
      <c r="X53" s="529"/>
      <c r="Y53" s="529"/>
      <c r="Z53" s="520"/>
      <c r="AA53" s="529"/>
      <c r="AB53" s="529"/>
      <c r="AC53" s="529"/>
      <c r="AD53" s="529"/>
      <c r="AE53" s="529"/>
    </row>
    <row r="54" spans="3:31">
      <c r="C54" s="529"/>
      <c r="D54" s="529"/>
      <c r="E54" s="529"/>
      <c r="F54" s="529"/>
      <c r="G54" s="529"/>
      <c r="H54" s="529"/>
      <c r="I54" s="529"/>
      <c r="J54" s="529"/>
      <c r="K54" s="529"/>
      <c r="L54" s="529"/>
      <c r="M54" s="529"/>
      <c r="N54" s="529"/>
      <c r="O54" s="529"/>
      <c r="P54" s="529"/>
      <c r="Q54" s="529"/>
      <c r="R54" s="529"/>
      <c r="S54" s="529"/>
      <c r="T54" s="529"/>
      <c r="U54" s="529"/>
      <c r="V54" s="529"/>
      <c r="W54" s="529"/>
      <c r="X54" s="529"/>
      <c r="Y54" s="529"/>
      <c r="Z54" s="529"/>
      <c r="AA54" s="529"/>
      <c r="AB54" s="529"/>
      <c r="AC54" s="529"/>
      <c r="AD54" s="529"/>
      <c r="AE54" s="529"/>
    </row>
  </sheetData>
  <mergeCells count="12">
    <mergeCell ref="S7:V7"/>
    <mergeCell ref="W7:Z7"/>
    <mergeCell ref="AA7:AD7"/>
    <mergeCell ref="A1:AD1"/>
    <mergeCell ref="A2:AD2"/>
    <mergeCell ref="A3:AD3"/>
    <mergeCell ref="A4:AD4"/>
    <mergeCell ref="A44:B44"/>
    <mergeCell ref="C7:F7"/>
    <mergeCell ref="G7:J7"/>
    <mergeCell ref="K7:N7"/>
    <mergeCell ref="O7:R7"/>
  </mergeCells>
  <phoneticPr fontId="19" type="noConversion"/>
  <pageMargins left="0.39370078740157483" right="0" top="0.98425196850393704" bottom="0.98425196850393704" header="0" footer="0"/>
  <pageSetup paperSize="5" scale="69" orientation="landscape" horizontalDpi="300" verticalDpi="300" r:id="rId1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U57"/>
  <sheetViews>
    <sheetView topLeftCell="L43" workbookViewId="0">
      <selection activeCell="AA46" sqref="AA46"/>
    </sheetView>
  </sheetViews>
  <sheetFormatPr baseColWidth="10" defaultRowHeight="12"/>
  <cols>
    <col min="1" max="1" width="12.7109375" style="406" customWidth="1"/>
    <col min="2" max="2" width="16" style="406" customWidth="1"/>
    <col min="3" max="29" width="7.140625" style="406" customWidth="1"/>
    <col min="30" max="30" width="8.85546875" style="406" customWidth="1"/>
    <col min="31" max="68" width="7.140625" style="406" customWidth="1"/>
    <col min="69" max="16384" width="11.42578125" style="406"/>
  </cols>
  <sheetData>
    <row r="1" spans="1:73">
      <c r="A1" s="1225" t="s">
        <v>1014</v>
      </c>
      <c r="B1" s="1225"/>
      <c r="C1" s="1225"/>
      <c r="D1" s="1225"/>
      <c r="E1" s="1225"/>
      <c r="F1" s="1225"/>
      <c r="G1" s="1225"/>
      <c r="H1" s="1225"/>
      <c r="I1" s="1225"/>
      <c r="J1" s="1225"/>
      <c r="K1" s="1225"/>
      <c r="L1" s="1225"/>
      <c r="M1" s="1225"/>
      <c r="N1" s="1225"/>
      <c r="O1" s="1225"/>
      <c r="P1" s="1225"/>
      <c r="Q1" s="1225"/>
      <c r="R1" s="1225"/>
      <c r="S1" s="1225"/>
      <c r="T1" s="1225"/>
      <c r="U1" s="1225"/>
      <c r="V1" s="1225"/>
      <c r="W1" s="1225"/>
      <c r="X1" s="1225"/>
      <c r="Y1" s="1225"/>
      <c r="Z1" s="1225"/>
      <c r="AA1" s="1225"/>
      <c r="AB1" s="1225"/>
      <c r="AC1" s="1225"/>
      <c r="AD1" s="1225"/>
    </row>
    <row r="2" spans="1:73">
      <c r="A2" s="1225" t="s">
        <v>1033</v>
      </c>
      <c r="B2" s="1225"/>
      <c r="C2" s="1225"/>
      <c r="D2" s="1225"/>
      <c r="E2" s="1225"/>
      <c r="F2" s="1225"/>
      <c r="G2" s="1225"/>
      <c r="H2" s="1225"/>
      <c r="I2" s="1225"/>
      <c r="J2" s="1225"/>
      <c r="K2" s="1225"/>
      <c r="L2" s="1225"/>
      <c r="M2" s="1225"/>
      <c r="N2" s="1225"/>
      <c r="O2" s="1225"/>
      <c r="P2" s="1225"/>
      <c r="Q2" s="1225"/>
      <c r="R2" s="1225"/>
      <c r="S2" s="1225"/>
      <c r="T2" s="1225"/>
      <c r="U2" s="1225"/>
      <c r="V2" s="1225"/>
      <c r="W2" s="1225"/>
      <c r="X2" s="1225"/>
      <c r="Y2" s="1225"/>
      <c r="Z2" s="1225"/>
      <c r="AA2" s="1225"/>
      <c r="AB2" s="1225"/>
      <c r="AC2" s="1225"/>
      <c r="AD2" s="1225"/>
    </row>
    <row r="3" spans="1:73">
      <c r="A3" s="1225" t="s">
        <v>970</v>
      </c>
      <c r="B3" s="1225"/>
      <c r="C3" s="1225"/>
      <c r="D3" s="1225"/>
      <c r="E3" s="1225"/>
      <c r="F3" s="1225"/>
      <c r="G3" s="1225"/>
      <c r="H3" s="1225"/>
      <c r="I3" s="1225"/>
      <c r="J3" s="1225"/>
      <c r="K3" s="1225"/>
      <c r="L3" s="1225"/>
      <c r="M3" s="1225"/>
      <c r="N3" s="1225"/>
      <c r="O3" s="1225"/>
      <c r="P3" s="1225"/>
      <c r="Q3" s="1225"/>
      <c r="R3" s="1225"/>
      <c r="S3" s="1225"/>
      <c r="T3" s="1225"/>
      <c r="U3" s="1225"/>
      <c r="V3" s="1225"/>
      <c r="W3" s="1225"/>
      <c r="X3" s="1225"/>
      <c r="Y3" s="1225"/>
      <c r="Z3" s="1225"/>
      <c r="AA3" s="1225"/>
      <c r="AB3" s="1225"/>
      <c r="AC3" s="1225"/>
      <c r="AD3" s="1225"/>
    </row>
    <row r="4" spans="1:73">
      <c r="A4" s="1225" t="str">
        <f>+'54'!A4:AD4</f>
        <v>2011 - 2014</v>
      </c>
      <c r="B4" s="1225"/>
      <c r="C4" s="1225"/>
      <c r="D4" s="1225"/>
      <c r="E4" s="1225"/>
      <c r="F4" s="1225"/>
      <c r="G4" s="1225"/>
      <c r="H4" s="1225"/>
      <c r="I4" s="1225"/>
      <c r="J4" s="1225"/>
      <c r="K4" s="1225"/>
      <c r="L4" s="1225"/>
      <c r="M4" s="1225"/>
      <c r="N4" s="1225"/>
      <c r="O4" s="1225"/>
      <c r="P4" s="1225"/>
      <c r="Q4" s="1225"/>
      <c r="R4" s="1225"/>
      <c r="S4" s="1225"/>
      <c r="T4" s="1225"/>
      <c r="U4" s="1225"/>
      <c r="V4" s="1225"/>
      <c r="W4" s="1225"/>
      <c r="X4" s="1225"/>
      <c r="Y4" s="1225"/>
      <c r="Z4" s="1225"/>
      <c r="AA4" s="1225"/>
      <c r="AB4" s="1225"/>
      <c r="AC4" s="1225"/>
      <c r="AD4" s="1225"/>
    </row>
    <row r="5" spans="1:73">
      <c r="S5" s="1164"/>
    </row>
    <row r="7" spans="1:73" ht="22.5" customHeight="1">
      <c r="A7" s="530" t="s">
        <v>590</v>
      </c>
      <c r="B7" s="514" t="s">
        <v>926</v>
      </c>
      <c r="C7" s="1220" t="s">
        <v>1016</v>
      </c>
      <c r="D7" s="1221"/>
      <c r="E7" s="1221"/>
      <c r="F7" s="1222"/>
      <c r="G7" s="1220" t="s">
        <v>1017</v>
      </c>
      <c r="H7" s="1221"/>
      <c r="I7" s="1221"/>
      <c r="J7" s="1222"/>
      <c r="K7" s="1221" t="s">
        <v>1018</v>
      </c>
      <c r="L7" s="1221"/>
      <c r="M7" s="1221"/>
      <c r="N7" s="1221"/>
      <c r="O7" s="1220" t="s">
        <v>1019</v>
      </c>
      <c r="P7" s="1221"/>
      <c r="Q7" s="1221"/>
      <c r="R7" s="1222"/>
      <c r="S7" s="1221" t="s">
        <v>1020</v>
      </c>
      <c r="T7" s="1221"/>
      <c r="U7" s="1221"/>
      <c r="V7" s="1221"/>
      <c r="W7" s="1220" t="s">
        <v>1021</v>
      </c>
      <c r="X7" s="1221"/>
      <c r="Y7" s="1221"/>
      <c r="Z7" s="1222"/>
      <c r="AA7" s="1221" t="s">
        <v>706</v>
      </c>
      <c r="AB7" s="1221"/>
      <c r="AC7" s="1221"/>
      <c r="AD7" s="1222"/>
    </row>
    <row r="8" spans="1:73" ht="22.5" customHeight="1">
      <c r="A8" s="424"/>
      <c r="B8" s="531"/>
      <c r="C8" s="496">
        <f>+'50'!C8</f>
        <v>2011</v>
      </c>
      <c r="D8" s="497">
        <f>+'50'!D8</f>
        <v>2012</v>
      </c>
      <c r="E8" s="497">
        <f>+'50'!E8</f>
        <v>2013</v>
      </c>
      <c r="F8" s="498">
        <f>+'50'!F8</f>
        <v>2014</v>
      </c>
      <c r="G8" s="496">
        <f>+'50'!G8</f>
        <v>2011</v>
      </c>
      <c r="H8" s="497">
        <f>+'50'!H8</f>
        <v>2012</v>
      </c>
      <c r="I8" s="497">
        <f>+'50'!I8</f>
        <v>2013</v>
      </c>
      <c r="J8" s="498">
        <f>+'50'!J8</f>
        <v>2014</v>
      </c>
      <c r="K8" s="496">
        <f>+'50'!K8</f>
        <v>2011</v>
      </c>
      <c r="L8" s="497">
        <f>+'50'!L8</f>
        <v>2012</v>
      </c>
      <c r="M8" s="497">
        <f>+'50'!M8</f>
        <v>2013</v>
      </c>
      <c r="N8" s="498">
        <f>+'50'!N8</f>
        <v>2014</v>
      </c>
      <c r="O8" s="496">
        <f>+'50'!O8</f>
        <v>2011</v>
      </c>
      <c r="P8" s="497">
        <f>+'50'!P8</f>
        <v>2012</v>
      </c>
      <c r="Q8" s="497">
        <f>+'50'!Q8</f>
        <v>2013</v>
      </c>
      <c r="R8" s="498">
        <f>+'50'!R8</f>
        <v>2014</v>
      </c>
      <c r="S8" s="496">
        <f>+'50'!S8</f>
        <v>2011</v>
      </c>
      <c r="T8" s="497">
        <f>+'50'!T8</f>
        <v>2012</v>
      </c>
      <c r="U8" s="497">
        <f>+'50'!U8</f>
        <v>2013</v>
      </c>
      <c r="V8" s="498">
        <f>+'50'!V8</f>
        <v>2014</v>
      </c>
      <c r="W8" s="496">
        <f>+'50'!W8</f>
        <v>2011</v>
      </c>
      <c r="X8" s="497">
        <f>+'50'!X8</f>
        <v>2012</v>
      </c>
      <c r="Y8" s="497">
        <f>+'50'!Y8</f>
        <v>2013</v>
      </c>
      <c r="Z8" s="498">
        <f>+'50'!Z8</f>
        <v>2014</v>
      </c>
      <c r="AA8" s="497">
        <f>+'50'!AA8</f>
        <v>2011</v>
      </c>
      <c r="AB8" s="497">
        <f>+'50'!AB8</f>
        <v>2012</v>
      </c>
      <c r="AC8" s="497">
        <f>+'50'!AC8</f>
        <v>2013</v>
      </c>
      <c r="AD8" s="498">
        <f>+'50'!AD8</f>
        <v>2014</v>
      </c>
      <c r="AE8" s="517"/>
      <c r="AF8" s="517"/>
      <c r="AG8" s="517"/>
      <c r="AH8" s="517"/>
      <c r="AI8" s="517"/>
      <c r="AJ8" s="517"/>
      <c r="AK8" s="517"/>
      <c r="AL8" s="517"/>
      <c r="AM8" s="517"/>
      <c r="AN8" s="517"/>
      <c r="AO8" s="517"/>
      <c r="AP8" s="517"/>
      <c r="AQ8" s="517"/>
    </row>
    <row r="9" spans="1:73" s="515" customFormat="1" ht="22.5" customHeight="1">
      <c r="A9" s="499" t="s">
        <v>1022</v>
      </c>
      <c r="B9" s="350" t="s">
        <v>887</v>
      </c>
      <c r="C9" s="377">
        <f>+'54'!C9+'53'!C9+'52'!C9+'51'!C9+'50'!C9</f>
        <v>20055</v>
      </c>
      <c r="D9" s="378">
        <f>+'54'!D9+'53'!D9+'52'!D9+'51'!D9+'50'!D9</f>
        <v>23190</v>
      </c>
      <c r="E9" s="378">
        <f>+'54'!E9+'53'!E9+'52'!E9+'51'!E9+'50'!E9</f>
        <v>19168</v>
      </c>
      <c r="F9" s="378">
        <f>+'54'!F9+'53'!F9+'52'!F9+'51'!F9+'50'!F9</f>
        <v>20878</v>
      </c>
      <c r="G9" s="377">
        <f>+'54'!G9+'53'!G9+'52'!G9+'51'!G9+'50'!G9</f>
        <v>5329</v>
      </c>
      <c r="H9" s="378">
        <f>+'54'!H9+'53'!H9+'52'!H9+'51'!H9+'50'!H9</f>
        <v>6352</v>
      </c>
      <c r="I9" s="378">
        <f>+'54'!I9+'53'!I9+'52'!I9+'51'!I9+'50'!I9</f>
        <v>6227</v>
      </c>
      <c r="J9" s="378">
        <f>+'54'!J9+'53'!J9+'52'!J9+'51'!J9+'50'!J9</f>
        <v>6179</v>
      </c>
      <c r="K9" s="377">
        <f>+'54'!K9+'53'!K9+'52'!K9+'51'!K9+'50'!K9</f>
        <v>10897</v>
      </c>
      <c r="L9" s="378">
        <f>+'54'!L9+'53'!L9+'52'!L9+'51'!L9+'50'!L9</f>
        <v>9839</v>
      </c>
      <c r="M9" s="378">
        <f>+'54'!M9+'53'!M9+'52'!M9+'51'!M9+'50'!M9</f>
        <v>7846</v>
      </c>
      <c r="N9" s="378">
        <f>+'54'!N9+'53'!N9+'52'!N9+'51'!N9+'50'!N9</f>
        <v>8050</v>
      </c>
      <c r="O9" s="377">
        <f>+'54'!O9+'53'!O9+'52'!O9+'51'!O9+'50'!O9</f>
        <v>5731</v>
      </c>
      <c r="P9" s="378">
        <f>+'54'!P9+'53'!P9+'52'!P9+'51'!P9+'50'!P9</f>
        <v>5878</v>
      </c>
      <c r="Q9" s="378">
        <f>+'54'!Q9+'53'!Q9+'52'!Q9+'51'!Q9+'50'!Q9</f>
        <v>4753</v>
      </c>
      <c r="R9" s="378">
        <f>+'54'!R9+'53'!R9+'52'!R9+'51'!R9+'50'!R9</f>
        <v>4644</v>
      </c>
      <c r="S9" s="377">
        <f>+'54'!S9+'53'!S9+'52'!S9+'51'!S9+'50'!S9</f>
        <v>943</v>
      </c>
      <c r="T9" s="378">
        <f>+'54'!T9+'53'!T9+'52'!T9+'51'!T9+'50'!T9</f>
        <v>613</v>
      </c>
      <c r="U9" s="378">
        <f>+'54'!U9+'53'!U9+'52'!U9+'51'!U9+'50'!U9</f>
        <v>612</v>
      </c>
      <c r="V9" s="378">
        <f>+'54'!V9+'53'!V9+'52'!V9+'51'!V9+'50'!V9</f>
        <v>604</v>
      </c>
      <c r="W9" s="377">
        <f>+'54'!W9+'53'!W9+'52'!W9+'51'!W9+'50'!W9</f>
        <v>1550</v>
      </c>
      <c r="X9" s="378">
        <f>+'54'!X9+'53'!X9+'52'!X9+'51'!X9+'50'!X9</f>
        <v>1622</v>
      </c>
      <c r="Y9" s="378">
        <f>+'54'!Y9+'53'!Y9+'52'!Y9+'51'!Y9+'50'!Y9</f>
        <v>1540</v>
      </c>
      <c r="Z9" s="501">
        <f>+'54'!Z9+'53'!Z9+'52'!Z9+'51'!Z9+'50'!Z9</f>
        <v>258</v>
      </c>
      <c r="AA9" s="378">
        <f t="shared" ref="AA9:AD11" si="0">+W9+S9+O9+K9+G9+C9</f>
        <v>44505</v>
      </c>
      <c r="AB9" s="378">
        <f t="shared" si="0"/>
        <v>47494</v>
      </c>
      <c r="AC9" s="378">
        <f t="shared" si="0"/>
        <v>40146</v>
      </c>
      <c r="AD9" s="500">
        <f>+Z9+V9+R9+N9+J9+F9</f>
        <v>40613</v>
      </c>
      <c r="AE9" s="532"/>
      <c r="AF9" s="532"/>
      <c r="AG9" s="532"/>
      <c r="AH9" s="532"/>
      <c r="AI9" s="532"/>
      <c r="AJ9" s="532"/>
      <c r="AK9" s="532"/>
      <c r="AL9" s="532"/>
      <c r="AM9" s="532"/>
      <c r="AN9" s="532"/>
      <c r="AO9" s="532"/>
      <c r="AP9" s="532"/>
      <c r="AQ9" s="532"/>
      <c r="AR9" s="525"/>
      <c r="AS9" s="525"/>
      <c r="AT9" s="525"/>
      <c r="AU9" s="525"/>
      <c r="AV9" s="525"/>
      <c r="AW9" s="525"/>
      <c r="AX9" s="525"/>
      <c r="AY9" s="525"/>
      <c r="AZ9" s="525"/>
      <c r="BA9" s="525"/>
      <c r="BB9" s="525"/>
      <c r="BC9" s="525"/>
      <c r="BD9" s="525"/>
      <c r="BE9" s="525"/>
      <c r="BF9" s="525"/>
      <c r="BG9" s="525"/>
      <c r="BH9" s="525"/>
      <c r="BI9" s="525"/>
      <c r="BJ9" s="525"/>
      <c r="BK9" s="525"/>
      <c r="BL9" s="525"/>
      <c r="BM9" s="525"/>
      <c r="BN9" s="525"/>
      <c r="BO9" s="525"/>
      <c r="BP9" s="525"/>
      <c r="BQ9" s="525"/>
      <c r="BR9" s="525"/>
      <c r="BS9" s="525"/>
      <c r="BT9" s="525"/>
      <c r="BU9" s="525"/>
    </row>
    <row r="10" spans="1:73" s="515" customFormat="1" ht="22.5" customHeight="1">
      <c r="A10" s="499"/>
      <c r="B10" s="350" t="s">
        <v>888</v>
      </c>
      <c r="C10" s="377">
        <f>+'54'!C10+'53'!C10+'52'!C10+'51'!C10+'50'!C10</f>
        <v>31688</v>
      </c>
      <c r="D10" s="378">
        <f>+'54'!D10+'53'!D10+'52'!D10+'51'!D10+'50'!D10</f>
        <v>33727</v>
      </c>
      <c r="E10" s="378">
        <f>+'54'!E10+'53'!E10+'52'!E10+'51'!E10+'50'!E10</f>
        <v>26191</v>
      </c>
      <c r="F10" s="378">
        <f>+'54'!F10+'53'!F10+'52'!F10+'51'!F10+'50'!F10</f>
        <v>22896</v>
      </c>
      <c r="G10" s="377">
        <f>+'54'!G10+'53'!G10+'52'!G10+'51'!G10+'50'!G10</f>
        <v>4147</v>
      </c>
      <c r="H10" s="378">
        <f>+'54'!H10+'53'!H10+'52'!H10+'51'!H10+'50'!H10</f>
        <v>4056</v>
      </c>
      <c r="I10" s="378">
        <f>+'54'!I10+'53'!I10+'52'!I10+'51'!I10+'50'!I10</f>
        <v>4085</v>
      </c>
      <c r="J10" s="378">
        <f>+'54'!J10+'53'!J10+'52'!J10+'51'!J10+'50'!J10</f>
        <v>5238</v>
      </c>
      <c r="K10" s="377">
        <f>+'54'!K10+'53'!K10+'52'!K10+'51'!K10+'50'!K10</f>
        <v>8938</v>
      </c>
      <c r="L10" s="378">
        <f>+'54'!L10+'53'!L10+'52'!L10+'51'!L10+'50'!L10</f>
        <v>8170</v>
      </c>
      <c r="M10" s="378">
        <f>+'54'!M10+'53'!M10+'52'!M10+'51'!M10+'50'!M10</f>
        <v>8022</v>
      </c>
      <c r="N10" s="378">
        <f>+'54'!N10+'53'!N10+'52'!N10+'51'!N10+'50'!N10</f>
        <v>8380</v>
      </c>
      <c r="O10" s="377">
        <f>+'54'!O10+'53'!O10+'52'!O10+'51'!O10+'50'!O10</f>
        <v>8040</v>
      </c>
      <c r="P10" s="378">
        <f>+'54'!P10+'53'!P10+'52'!P10+'51'!P10+'50'!P10</f>
        <v>7353</v>
      </c>
      <c r="Q10" s="378">
        <f>+'54'!Q10+'53'!Q10+'52'!Q10+'51'!Q10+'50'!Q10</f>
        <v>7439</v>
      </c>
      <c r="R10" s="378">
        <f>+'54'!R10+'53'!R10+'52'!R10+'51'!R10+'50'!R10</f>
        <v>8022</v>
      </c>
      <c r="S10" s="377">
        <f>+'54'!S10+'53'!S10+'52'!S10+'51'!S10+'50'!S10</f>
        <v>1325</v>
      </c>
      <c r="T10" s="378">
        <f>+'54'!T10+'53'!T10+'52'!T10+'51'!T10+'50'!T10</f>
        <v>1139</v>
      </c>
      <c r="U10" s="378">
        <f>+'54'!U10+'53'!U10+'52'!U10+'51'!U10+'50'!U10</f>
        <v>891</v>
      </c>
      <c r="V10" s="378">
        <f>+'54'!V10+'53'!V10+'52'!V10+'51'!V10+'50'!V10</f>
        <v>903</v>
      </c>
      <c r="W10" s="377">
        <f>+'54'!W10+'53'!W10+'52'!W10+'51'!W10+'50'!W10</f>
        <v>2270</v>
      </c>
      <c r="X10" s="378">
        <f>+'54'!X10+'53'!X10+'52'!X10+'51'!X10+'50'!X10</f>
        <v>2314</v>
      </c>
      <c r="Y10" s="378">
        <f>+'54'!Y10+'53'!Y10+'52'!Y10+'51'!Y10+'50'!Y10</f>
        <v>1581</v>
      </c>
      <c r="Z10" s="500">
        <f>+'54'!Z10+'53'!Z10+'52'!Z10+'51'!Z10+'50'!Z10</f>
        <v>17</v>
      </c>
      <c r="AA10" s="378">
        <f t="shared" si="0"/>
        <v>56408</v>
      </c>
      <c r="AB10" s="378">
        <f t="shared" si="0"/>
        <v>56759</v>
      </c>
      <c r="AC10" s="378">
        <f t="shared" si="0"/>
        <v>48209</v>
      </c>
      <c r="AD10" s="500">
        <f t="shared" si="0"/>
        <v>45456</v>
      </c>
      <c r="AE10" s="532"/>
      <c r="AF10" s="532"/>
      <c r="AG10" s="532"/>
      <c r="AH10" s="532"/>
      <c r="AI10" s="532"/>
      <c r="AJ10" s="532"/>
      <c r="AK10" s="532"/>
      <c r="AL10" s="532"/>
      <c r="AM10" s="532"/>
      <c r="AN10" s="532"/>
      <c r="AO10" s="532"/>
      <c r="AP10" s="532"/>
      <c r="AQ10" s="532"/>
      <c r="AR10" s="525"/>
      <c r="AS10" s="525"/>
      <c r="AT10" s="525"/>
      <c r="AU10" s="525"/>
      <c r="AV10" s="525"/>
      <c r="AW10" s="525"/>
      <c r="AX10" s="525"/>
      <c r="AY10" s="525"/>
      <c r="AZ10" s="525"/>
      <c r="BA10" s="525"/>
      <c r="BB10" s="525"/>
      <c r="BC10" s="525"/>
      <c r="BD10" s="525"/>
      <c r="BE10" s="525"/>
      <c r="BF10" s="525"/>
      <c r="BG10" s="525"/>
      <c r="BH10" s="525"/>
      <c r="BI10" s="525"/>
      <c r="BJ10" s="525"/>
      <c r="BK10" s="525"/>
      <c r="BL10" s="525"/>
      <c r="BM10" s="525"/>
      <c r="BN10" s="525"/>
      <c r="BO10" s="525"/>
      <c r="BP10" s="525"/>
      <c r="BQ10" s="525"/>
      <c r="BR10" s="525"/>
      <c r="BS10" s="525"/>
      <c r="BT10" s="525"/>
      <c r="BU10" s="525"/>
    </row>
    <row r="11" spans="1:73" s="515" customFormat="1" ht="22.5" customHeight="1">
      <c r="A11" s="499"/>
      <c r="B11" s="350" t="s">
        <v>889</v>
      </c>
      <c r="C11" s="377">
        <f>+'54'!C11+'53'!C11+'52'!C11+'51'!C11+'50'!C11</f>
        <v>3213</v>
      </c>
      <c r="D11" s="378">
        <f>+'54'!D11+'53'!D11+'52'!D11+'51'!D11+'50'!D11</f>
        <v>4963</v>
      </c>
      <c r="E11" s="378">
        <f>+'54'!E11+'53'!E11+'52'!E11+'51'!E11+'50'!E11</f>
        <v>4030</v>
      </c>
      <c r="F11" s="378">
        <f>+'54'!F11+'53'!F11+'52'!F11+'51'!F11+'50'!F11</f>
        <v>4773</v>
      </c>
      <c r="G11" s="377">
        <f>+'54'!G11+'53'!G11+'52'!G11+'51'!G11+'50'!G11</f>
        <v>879</v>
      </c>
      <c r="H11" s="378">
        <f>+'54'!H11+'53'!H11+'52'!H11+'51'!H11+'50'!H11</f>
        <v>959</v>
      </c>
      <c r="I11" s="378">
        <f>+'54'!I11+'53'!I11+'52'!I11+'51'!I11+'50'!I11</f>
        <v>902</v>
      </c>
      <c r="J11" s="378">
        <f>+'54'!J11+'53'!J11+'52'!J11+'51'!J11+'50'!J11</f>
        <v>836</v>
      </c>
      <c r="K11" s="377">
        <f>+'54'!K11+'53'!K11+'52'!K11+'51'!K11+'50'!K11</f>
        <v>1728</v>
      </c>
      <c r="L11" s="378">
        <f>+'54'!L11+'53'!L11+'52'!L11+'51'!L11+'50'!L11</f>
        <v>1530</v>
      </c>
      <c r="M11" s="378">
        <f>+'54'!M11+'53'!M11+'52'!M11+'51'!M11+'50'!M11</f>
        <v>1239</v>
      </c>
      <c r="N11" s="378">
        <f>+'54'!N11+'53'!N11+'52'!N11+'51'!N11+'50'!N11</f>
        <v>1500</v>
      </c>
      <c r="O11" s="377">
        <f>+'54'!O11+'53'!O11+'52'!O11+'51'!O11+'50'!O11</f>
        <v>997</v>
      </c>
      <c r="P11" s="378">
        <f>+'54'!P11+'53'!P11+'52'!P11+'51'!P11+'50'!P11</f>
        <v>1077</v>
      </c>
      <c r="Q11" s="378">
        <f>+'54'!Q11+'53'!Q11+'52'!Q11+'51'!Q11+'50'!Q11</f>
        <v>891</v>
      </c>
      <c r="R11" s="378">
        <f>+'54'!R11+'53'!R11+'52'!R11+'51'!R11+'50'!R11</f>
        <v>1073</v>
      </c>
      <c r="S11" s="377">
        <f>+'54'!S11+'53'!S11+'52'!S11+'51'!S11+'50'!S11</f>
        <v>140</v>
      </c>
      <c r="T11" s="378">
        <f>+'54'!T11+'53'!T11+'52'!T11+'51'!T11+'50'!T11</f>
        <v>52</v>
      </c>
      <c r="U11" s="378">
        <f>+'54'!U11+'53'!U11+'52'!U11+'51'!U11+'50'!U11</f>
        <v>133</v>
      </c>
      <c r="V11" s="378">
        <f>+'54'!V11+'53'!V11+'52'!V11+'51'!V11+'50'!V11</f>
        <v>221</v>
      </c>
      <c r="W11" s="377">
        <f>+'54'!W11+'53'!W11+'52'!W11+'51'!W11+'50'!W11</f>
        <v>330</v>
      </c>
      <c r="X11" s="378">
        <f>+'54'!X11+'53'!X11+'52'!X11+'51'!X11+'50'!X11</f>
        <v>299</v>
      </c>
      <c r="Y11" s="378">
        <f>+'54'!Y11+'53'!Y11+'52'!Y11+'51'!Y11+'50'!Y11</f>
        <v>295</v>
      </c>
      <c r="Z11" s="500">
        <f>+'54'!Z11+'53'!Z11+'52'!Z11+'51'!Z11+'50'!Z11</f>
        <v>56</v>
      </c>
      <c r="AA11" s="378">
        <f t="shared" ref="AA11:AC12" si="1">+W11+S11+O11+K11+G11+C11</f>
        <v>7287</v>
      </c>
      <c r="AB11" s="378">
        <f t="shared" si="1"/>
        <v>8880</v>
      </c>
      <c r="AC11" s="378">
        <f t="shared" si="1"/>
        <v>7490</v>
      </c>
      <c r="AD11" s="500">
        <f t="shared" si="0"/>
        <v>8459</v>
      </c>
      <c r="AE11" s="532"/>
      <c r="AF11" s="532"/>
      <c r="AG11" s="532"/>
      <c r="AH11" s="532"/>
      <c r="AI11" s="532"/>
      <c r="AJ11" s="532"/>
      <c r="AK11" s="532"/>
      <c r="AL11" s="532"/>
      <c r="AM11" s="532"/>
      <c r="AN11" s="532"/>
      <c r="AO11" s="532"/>
      <c r="AP11" s="532"/>
      <c r="AQ11" s="532"/>
      <c r="AR11" s="525"/>
      <c r="AS11" s="525"/>
      <c r="AT11" s="525"/>
      <c r="AU11" s="525"/>
      <c r="AV11" s="525"/>
      <c r="AW11" s="525"/>
      <c r="AX11" s="525"/>
      <c r="AY11" s="525"/>
      <c r="AZ11" s="525"/>
      <c r="BA11" s="525"/>
      <c r="BB11" s="525"/>
      <c r="BC11" s="525"/>
      <c r="BD11" s="525"/>
      <c r="BE11" s="525"/>
      <c r="BF11" s="525"/>
      <c r="BG11" s="525"/>
      <c r="BH11" s="525"/>
      <c r="BI11" s="525"/>
      <c r="BJ11" s="525"/>
      <c r="BK11" s="525"/>
      <c r="BL11" s="525"/>
      <c r="BM11" s="525"/>
      <c r="BN11" s="525"/>
      <c r="BO11" s="525"/>
      <c r="BP11" s="525"/>
      <c r="BQ11" s="525"/>
      <c r="BR11" s="525"/>
      <c r="BS11" s="525"/>
      <c r="BT11" s="525"/>
      <c r="BU11" s="525"/>
    </row>
    <row r="12" spans="1:73" s="515" customFormat="1" ht="22.5" customHeight="1">
      <c r="A12" s="499"/>
      <c r="B12" s="303" t="s">
        <v>1357</v>
      </c>
      <c r="C12" s="377">
        <f>+'54'!C12+'53'!C12+'52'!C12+'51'!C12+'50'!C12</f>
        <v>0</v>
      </c>
      <c r="D12" s="378">
        <f>+'54'!D12+'53'!D12+'52'!D12+'51'!D12+'50'!D12</f>
        <v>1082</v>
      </c>
      <c r="E12" s="378">
        <f>+'54'!E12+'53'!E12+'52'!E12+'51'!E12+'50'!E12</f>
        <v>879</v>
      </c>
      <c r="F12" s="378">
        <f>+'54'!F12+'53'!F12+'52'!F12+'51'!F12+'50'!F12</f>
        <v>1011</v>
      </c>
      <c r="G12" s="377">
        <f>+'54'!G12+'53'!G12+'52'!G12+'51'!G12+'50'!G12</f>
        <v>0</v>
      </c>
      <c r="H12" s="378">
        <f>+'54'!H12+'53'!H12+'52'!H12+'51'!H12+'50'!H12</f>
        <v>232</v>
      </c>
      <c r="I12" s="378">
        <f>+'54'!I12+'53'!I12+'52'!I12+'51'!I12+'50'!I12</f>
        <v>266</v>
      </c>
      <c r="J12" s="378">
        <f>+'54'!J12+'53'!J12+'52'!J12+'51'!J12+'50'!J12</f>
        <v>257</v>
      </c>
      <c r="K12" s="377">
        <f>+'54'!K12+'53'!K12+'52'!K12+'51'!K12+'50'!K12</f>
        <v>0</v>
      </c>
      <c r="L12" s="378">
        <f>+'54'!L12+'53'!L12+'52'!L12+'51'!L12+'50'!L12</f>
        <v>281</v>
      </c>
      <c r="M12" s="378">
        <f>+'54'!M12+'53'!M12+'52'!M12+'51'!M12+'50'!M12</f>
        <v>357</v>
      </c>
      <c r="N12" s="378">
        <f>+'54'!N12+'53'!N12+'52'!N12+'51'!N12+'50'!N12</f>
        <v>342</v>
      </c>
      <c r="O12" s="377">
        <f>+'54'!O12+'53'!O12+'52'!O12+'51'!O12+'50'!O12</f>
        <v>0</v>
      </c>
      <c r="P12" s="378">
        <f>+'54'!P12+'53'!P12+'52'!P12+'51'!P12+'50'!P12</f>
        <v>243</v>
      </c>
      <c r="Q12" s="378">
        <f>+'54'!Q12+'53'!Q12+'52'!Q12+'51'!Q12+'50'!Q12</f>
        <v>145</v>
      </c>
      <c r="R12" s="378">
        <f>+'54'!R12+'53'!R12+'52'!R12+'51'!R12+'50'!R12</f>
        <v>212</v>
      </c>
      <c r="S12" s="377">
        <f>+'54'!S12+'53'!S12+'52'!S12+'51'!S12+'50'!S12</f>
        <v>0</v>
      </c>
      <c r="T12" s="378">
        <f>+'54'!T12+'53'!T12+'52'!T12+'51'!T12+'50'!T12</f>
        <v>12</v>
      </c>
      <c r="U12" s="378">
        <f>+'54'!U12+'53'!U12+'52'!U12+'51'!U12+'50'!U12</f>
        <v>23</v>
      </c>
      <c r="V12" s="378">
        <f>+'54'!V12+'53'!V12+'52'!V12+'51'!V12+'50'!V12</f>
        <v>26</v>
      </c>
      <c r="W12" s="377">
        <f>+'54'!W12+'53'!W12+'52'!W12+'51'!W12+'50'!W12</f>
        <v>0</v>
      </c>
      <c r="X12" s="378">
        <f>+'54'!X12+'53'!X12+'52'!X12+'51'!X12+'50'!X12</f>
        <v>78</v>
      </c>
      <c r="Y12" s="378">
        <f>+'54'!Y12+'53'!Y12+'52'!Y12+'51'!Y12+'50'!Y12</f>
        <v>88</v>
      </c>
      <c r="Z12" s="500">
        <f>+'54'!Z12+'53'!Z12+'52'!Z12+'51'!Z12+'50'!Z12</f>
        <v>16</v>
      </c>
      <c r="AA12" s="378">
        <f t="shared" si="1"/>
        <v>0</v>
      </c>
      <c r="AB12" s="378">
        <f t="shared" si="1"/>
        <v>1928</v>
      </c>
      <c r="AC12" s="378">
        <f t="shared" si="1"/>
        <v>1758</v>
      </c>
      <c r="AD12" s="500">
        <f>+Z12+V12+R12+N12+J12+F12</f>
        <v>1864</v>
      </c>
      <c r="AE12" s="532"/>
      <c r="AF12" s="532"/>
      <c r="AG12" s="532"/>
      <c r="AH12" s="532"/>
      <c r="AI12" s="532"/>
      <c r="AJ12" s="532"/>
      <c r="AK12" s="532"/>
      <c r="AL12" s="532"/>
      <c r="AM12" s="532"/>
      <c r="AN12" s="532"/>
      <c r="AO12" s="532"/>
      <c r="AP12" s="532"/>
      <c r="AQ12" s="532"/>
      <c r="AR12" s="525"/>
      <c r="AS12" s="525"/>
      <c r="AT12" s="525"/>
      <c r="AU12" s="525"/>
      <c r="AV12" s="525"/>
      <c r="AW12" s="525"/>
      <c r="AX12" s="525"/>
      <c r="AY12" s="525"/>
      <c r="AZ12" s="525"/>
      <c r="BA12" s="525"/>
      <c r="BB12" s="525"/>
      <c r="BC12" s="525"/>
      <c r="BD12" s="525"/>
      <c r="BE12" s="525"/>
      <c r="BF12" s="525"/>
      <c r="BG12" s="525"/>
      <c r="BH12" s="525"/>
      <c r="BI12" s="525"/>
      <c r="BJ12" s="525"/>
      <c r="BK12" s="525"/>
      <c r="BL12" s="525"/>
      <c r="BM12" s="525"/>
      <c r="BN12" s="525"/>
      <c r="BO12" s="525"/>
      <c r="BP12" s="525"/>
      <c r="BQ12" s="525"/>
      <c r="BR12" s="525"/>
      <c r="BS12" s="525"/>
      <c r="BT12" s="525"/>
      <c r="BU12" s="525"/>
    </row>
    <row r="13" spans="1:73" s="515" customFormat="1" ht="22.5" customHeight="1">
      <c r="A13" s="499">
        <v>10331</v>
      </c>
      <c r="B13" s="499" t="s">
        <v>690</v>
      </c>
      <c r="C13" s="377">
        <f t="shared" ref="C13:N13" si="2">SUM(C9:C12)</f>
        <v>54956</v>
      </c>
      <c r="D13" s="378">
        <f t="shared" si="2"/>
        <v>62962</v>
      </c>
      <c r="E13" s="378">
        <f t="shared" si="2"/>
        <v>50268</v>
      </c>
      <c r="F13" s="500">
        <f t="shared" si="2"/>
        <v>49558</v>
      </c>
      <c r="G13" s="377">
        <f t="shared" si="2"/>
        <v>10355</v>
      </c>
      <c r="H13" s="378">
        <f t="shared" si="2"/>
        <v>11599</v>
      </c>
      <c r="I13" s="378">
        <f t="shared" si="2"/>
        <v>11480</v>
      </c>
      <c r="J13" s="500">
        <f t="shared" ref="J13" si="3">SUM(J9:J12)</f>
        <v>12510</v>
      </c>
      <c r="K13" s="377">
        <f t="shared" si="2"/>
        <v>21563</v>
      </c>
      <c r="L13" s="378">
        <f t="shared" si="2"/>
        <v>19820</v>
      </c>
      <c r="M13" s="378">
        <f t="shared" si="2"/>
        <v>17464</v>
      </c>
      <c r="N13" s="500">
        <f t="shared" si="2"/>
        <v>18272</v>
      </c>
      <c r="O13" s="377">
        <f t="shared" ref="O13:Z13" si="4">SUM(O9:O12)</f>
        <v>14768</v>
      </c>
      <c r="P13" s="378">
        <f t="shared" si="4"/>
        <v>14551</v>
      </c>
      <c r="Q13" s="378">
        <f t="shared" si="4"/>
        <v>13228</v>
      </c>
      <c r="R13" s="500">
        <f t="shared" si="4"/>
        <v>13951</v>
      </c>
      <c r="S13" s="377">
        <f t="shared" si="4"/>
        <v>2408</v>
      </c>
      <c r="T13" s="378">
        <f t="shared" si="4"/>
        <v>1816</v>
      </c>
      <c r="U13" s="378">
        <f t="shared" si="4"/>
        <v>1659</v>
      </c>
      <c r="V13" s="500">
        <f t="shared" si="4"/>
        <v>1754</v>
      </c>
      <c r="W13" s="377">
        <f t="shared" si="4"/>
        <v>4150</v>
      </c>
      <c r="X13" s="378">
        <f t="shared" si="4"/>
        <v>4313</v>
      </c>
      <c r="Y13" s="378">
        <f t="shared" si="4"/>
        <v>3504</v>
      </c>
      <c r="Z13" s="500">
        <f t="shared" si="4"/>
        <v>347</v>
      </c>
      <c r="AA13" s="377">
        <f t="shared" ref="AA13" si="5">SUM(AA9:AA12)</f>
        <v>108200</v>
      </c>
      <c r="AB13" s="378">
        <f t="shared" ref="AB13" si="6">SUM(AB9:AB12)</f>
        <v>115061</v>
      </c>
      <c r="AC13" s="378">
        <f t="shared" ref="AC13" si="7">SUM(AC9:AC12)</f>
        <v>97603</v>
      </c>
      <c r="AD13" s="500">
        <f t="shared" ref="AD13" si="8">SUM(AD9:AD12)</f>
        <v>96392</v>
      </c>
      <c r="AE13" s="532"/>
      <c r="AF13" s="532"/>
      <c r="AG13" s="532"/>
      <c r="AH13" s="532"/>
      <c r="AI13" s="532"/>
      <c r="AJ13" s="532"/>
      <c r="AK13" s="532"/>
      <c r="AL13" s="532"/>
      <c r="AM13" s="532"/>
      <c r="AN13" s="532"/>
      <c r="AO13" s="532"/>
      <c r="AP13" s="532"/>
      <c r="AQ13" s="532"/>
      <c r="AR13" s="525"/>
      <c r="AS13" s="525"/>
      <c r="AT13" s="525"/>
      <c r="AU13" s="525"/>
      <c r="AV13" s="525"/>
      <c r="AW13" s="525"/>
      <c r="AX13" s="525"/>
      <c r="AY13" s="525"/>
      <c r="AZ13" s="525"/>
      <c r="BA13" s="525"/>
      <c r="BB13" s="525"/>
      <c r="BC13" s="525"/>
      <c r="BD13" s="525"/>
      <c r="BE13" s="525"/>
      <c r="BF13" s="525"/>
      <c r="BG13" s="525"/>
      <c r="BH13" s="525"/>
      <c r="BI13" s="525"/>
      <c r="BJ13" s="525"/>
      <c r="BK13" s="525"/>
      <c r="BL13" s="525"/>
      <c r="BM13" s="525"/>
      <c r="BN13" s="525"/>
      <c r="BO13" s="525"/>
      <c r="BP13" s="525"/>
      <c r="BQ13" s="525"/>
      <c r="BR13" s="525"/>
      <c r="BS13" s="525"/>
      <c r="BT13" s="525"/>
      <c r="BU13" s="525"/>
    </row>
    <row r="14" spans="1:73" s="515" customFormat="1" ht="22.5" customHeight="1">
      <c r="A14" s="499" t="s">
        <v>576</v>
      </c>
      <c r="B14" s="350" t="s">
        <v>890</v>
      </c>
      <c r="C14" s="377">
        <f>+'54'!C14+'53'!C14+'52'!C14+'51'!C14+'50'!C14</f>
        <v>29406</v>
      </c>
      <c r="D14" s="378">
        <f>+'54'!D14+'53'!D14+'52'!D14+'51'!D14+'50'!D14</f>
        <v>15539</v>
      </c>
      <c r="E14" s="378">
        <f>+'54'!E14+'53'!E14+'52'!E14+'51'!E14+'50'!E14</f>
        <v>13328</v>
      </c>
      <c r="F14" s="378">
        <f>+'54'!F14+'53'!F14+'52'!F14+'51'!F14+'50'!F14</f>
        <v>16648</v>
      </c>
      <c r="G14" s="377">
        <f>+'54'!G14+'53'!G14+'52'!G14+'51'!G14+'50'!G14</f>
        <v>3378</v>
      </c>
      <c r="H14" s="378">
        <f>+'54'!H14+'53'!H14+'52'!H14+'51'!H14+'50'!H14</f>
        <v>3319</v>
      </c>
      <c r="I14" s="378">
        <f>+'54'!I14+'53'!I14+'52'!I14+'51'!I14+'50'!I14</f>
        <v>4131</v>
      </c>
      <c r="J14" s="378">
        <f>+'54'!J14+'53'!J14+'52'!J14+'51'!J14+'50'!J14</f>
        <v>3400</v>
      </c>
      <c r="K14" s="377">
        <f>+'54'!K14+'53'!K14+'52'!K14+'51'!K14+'50'!K14</f>
        <v>6318</v>
      </c>
      <c r="L14" s="378">
        <f>+'54'!L14+'53'!L14+'52'!L14+'51'!L14+'50'!L14</f>
        <v>4229</v>
      </c>
      <c r="M14" s="378">
        <f>+'54'!M14+'53'!M14+'52'!M14+'51'!M14+'50'!M14</f>
        <v>4428</v>
      </c>
      <c r="N14" s="378">
        <f>+'54'!N14+'53'!N14+'52'!N14+'51'!N14+'50'!N14</f>
        <v>4555</v>
      </c>
      <c r="O14" s="377">
        <f>+'54'!O14+'53'!O14+'52'!O14+'51'!O14+'50'!O14</f>
        <v>2810</v>
      </c>
      <c r="P14" s="378">
        <f>+'54'!P14+'53'!P14+'52'!P14+'51'!P14+'50'!P14</f>
        <v>2274</v>
      </c>
      <c r="Q14" s="378">
        <f>+'54'!Q14+'53'!Q14+'52'!Q14+'51'!Q14+'50'!Q14</f>
        <v>2314</v>
      </c>
      <c r="R14" s="378">
        <f>+'54'!R14+'53'!R14+'52'!R14+'51'!R14+'50'!R14</f>
        <v>2728</v>
      </c>
      <c r="S14" s="377">
        <f>+'54'!S14+'53'!S14+'52'!S14+'51'!S14+'50'!S14</f>
        <v>1526</v>
      </c>
      <c r="T14" s="378">
        <f>+'54'!T14+'53'!T14+'52'!T14+'51'!T14+'50'!T14</f>
        <v>712</v>
      </c>
      <c r="U14" s="378">
        <f>+'54'!U14+'53'!U14+'52'!U14+'51'!U14+'50'!U14</f>
        <v>1234</v>
      </c>
      <c r="V14" s="378">
        <f>+'54'!V14+'53'!V14+'52'!V14+'51'!V14+'50'!V14</f>
        <v>1957</v>
      </c>
      <c r="W14" s="377">
        <f>+'54'!W14+'53'!W14+'52'!W14+'51'!W14+'50'!W14</f>
        <v>326</v>
      </c>
      <c r="X14" s="378">
        <f>+'54'!X14+'53'!X14+'52'!X14+'51'!X14+'50'!X14</f>
        <v>454</v>
      </c>
      <c r="Y14" s="378">
        <f>+'54'!Y14+'53'!Y14+'52'!Y14+'51'!Y14+'50'!Y14</f>
        <v>382</v>
      </c>
      <c r="Z14" s="500">
        <f>+'54'!Z14+'53'!Z14+'52'!Z14+'51'!Z14+'50'!Z14</f>
        <v>0</v>
      </c>
      <c r="AA14" s="378">
        <f t="shared" ref="AA14:AD16" si="9">+W14+S14+O14+K14+G14+C14</f>
        <v>43764</v>
      </c>
      <c r="AB14" s="378">
        <f t="shared" si="9"/>
        <v>26527</v>
      </c>
      <c r="AC14" s="378">
        <f t="shared" si="9"/>
        <v>25817</v>
      </c>
      <c r="AD14" s="500">
        <f t="shared" si="9"/>
        <v>29288</v>
      </c>
      <c r="AE14" s="532"/>
      <c r="AF14" s="532"/>
      <c r="AG14" s="532"/>
      <c r="AH14" s="532"/>
      <c r="AI14" s="532"/>
      <c r="AJ14" s="532"/>
      <c r="AK14" s="532"/>
      <c r="AL14" s="532"/>
      <c r="AM14" s="532"/>
      <c r="AN14" s="532"/>
      <c r="AO14" s="532"/>
      <c r="AP14" s="532"/>
      <c r="AQ14" s="532"/>
      <c r="AR14" s="525"/>
      <c r="AS14" s="525"/>
      <c r="AT14" s="525"/>
      <c r="AU14" s="525"/>
      <c r="AV14" s="525"/>
      <c r="AW14" s="525"/>
      <c r="AX14" s="525"/>
      <c r="AY14" s="525"/>
      <c r="AZ14" s="525"/>
      <c r="BA14" s="525"/>
      <c r="BB14" s="525"/>
      <c r="BC14" s="525"/>
      <c r="BD14" s="525"/>
      <c r="BE14" s="525"/>
      <c r="BF14" s="525"/>
      <c r="BG14" s="525"/>
      <c r="BH14" s="525"/>
      <c r="BI14" s="525"/>
      <c r="BJ14" s="525"/>
      <c r="BK14" s="525"/>
      <c r="BL14" s="525"/>
      <c r="BM14" s="525"/>
      <c r="BN14" s="525"/>
      <c r="BO14" s="525"/>
      <c r="BP14" s="525"/>
      <c r="BQ14" s="525"/>
      <c r="BR14" s="525"/>
      <c r="BS14" s="525"/>
      <c r="BT14" s="525"/>
      <c r="BU14" s="525"/>
    </row>
    <row r="15" spans="1:73" s="515" customFormat="1" ht="22.5" customHeight="1">
      <c r="A15" s="499"/>
      <c r="B15" s="254" t="s">
        <v>1362</v>
      </c>
      <c r="C15" s="377">
        <f>+'54'!C15+'53'!C15+'52'!C15+'51'!C15+'50'!C15</f>
        <v>0</v>
      </c>
      <c r="D15" s="378">
        <f>+'54'!D15+'53'!D15+'52'!D15+'51'!D15+'50'!D15</f>
        <v>4963</v>
      </c>
      <c r="E15" s="378">
        <f>+'54'!E15+'53'!E15+'52'!E15+'51'!E15+'50'!E15</f>
        <v>1876</v>
      </c>
      <c r="F15" s="378">
        <f>+'54'!F15+'53'!F15+'52'!F15+'51'!F15+'50'!F15</f>
        <v>2001</v>
      </c>
      <c r="G15" s="377">
        <f>+'54'!G15+'53'!G15+'52'!G15+'51'!G15+'50'!G15</f>
        <v>0</v>
      </c>
      <c r="H15" s="378">
        <f>+'54'!H15+'53'!H15+'52'!H15+'51'!H15+'50'!H15</f>
        <v>959</v>
      </c>
      <c r="I15" s="378">
        <f>+'54'!I15+'53'!I15+'52'!I15+'51'!I15+'50'!I15</f>
        <v>819</v>
      </c>
      <c r="J15" s="378">
        <f>+'54'!J15+'53'!J15+'52'!J15+'51'!J15+'50'!J15</f>
        <v>748</v>
      </c>
      <c r="K15" s="377">
        <f>+'54'!K15+'53'!K15+'52'!K15+'51'!K15+'50'!K15</f>
        <v>0</v>
      </c>
      <c r="L15" s="378">
        <f>+'54'!L15+'53'!L15+'52'!L15+'51'!L15+'50'!L15</f>
        <v>1530</v>
      </c>
      <c r="M15" s="378">
        <f>+'54'!M15+'53'!M15+'52'!M15+'51'!M15+'50'!M15</f>
        <v>971</v>
      </c>
      <c r="N15" s="378">
        <f>+'54'!N15+'53'!N15+'52'!N15+'51'!N15+'50'!N15</f>
        <v>824</v>
      </c>
      <c r="O15" s="377">
        <f>+'54'!O15+'53'!O15+'52'!O15+'51'!O15+'50'!O15</f>
        <v>0</v>
      </c>
      <c r="P15" s="378">
        <f>+'54'!P15+'53'!P15+'52'!P15+'51'!P15+'50'!P15</f>
        <v>1077</v>
      </c>
      <c r="Q15" s="378">
        <f>+'54'!Q15+'53'!Q15+'52'!Q15+'51'!Q15+'50'!Q15</f>
        <v>440</v>
      </c>
      <c r="R15" s="378">
        <f>+'54'!R15+'53'!R15+'52'!R15+'51'!R15+'50'!R15</f>
        <v>562</v>
      </c>
      <c r="S15" s="377">
        <f>+'54'!S15+'53'!S15+'52'!S15+'51'!S15+'50'!S15</f>
        <v>0</v>
      </c>
      <c r="T15" s="378">
        <f>+'54'!T15+'53'!T15+'52'!T15+'51'!T15+'50'!T15</f>
        <v>52</v>
      </c>
      <c r="U15" s="378">
        <f>+'54'!U15+'53'!U15+'52'!U15+'51'!U15+'50'!U15</f>
        <v>0</v>
      </c>
      <c r="V15" s="378">
        <f>+'54'!V15+'53'!V15+'52'!V15+'51'!V15+'50'!V15</f>
        <v>0</v>
      </c>
      <c r="W15" s="377">
        <f>+'54'!W15+'53'!W15+'52'!W15+'51'!W15+'50'!W15</f>
        <v>0</v>
      </c>
      <c r="X15" s="378">
        <f>+'54'!X15+'53'!X15+'52'!X15+'51'!X15+'50'!X15</f>
        <v>299</v>
      </c>
      <c r="Y15" s="378">
        <f>+'54'!Y15+'53'!Y15+'52'!Y15+'51'!Y15+'50'!Y15</f>
        <v>100</v>
      </c>
      <c r="Z15" s="500">
        <f>+'54'!Z15+'53'!Z15+'52'!Z15+'51'!Z15+'50'!Z15</f>
        <v>0</v>
      </c>
      <c r="AA15" s="378">
        <f t="shared" si="9"/>
        <v>0</v>
      </c>
      <c r="AB15" s="378">
        <f t="shared" si="9"/>
        <v>8880</v>
      </c>
      <c r="AC15" s="378">
        <f t="shared" si="9"/>
        <v>4206</v>
      </c>
      <c r="AD15" s="500">
        <f t="shared" si="9"/>
        <v>4135</v>
      </c>
      <c r="AE15" s="532"/>
      <c r="AF15" s="532"/>
      <c r="AG15" s="532"/>
      <c r="AH15" s="532"/>
      <c r="AI15" s="532"/>
      <c r="AJ15" s="532"/>
      <c r="AK15" s="532"/>
      <c r="AL15" s="532"/>
      <c r="AM15" s="532"/>
      <c r="AN15" s="532"/>
      <c r="AO15" s="532"/>
      <c r="AP15" s="532"/>
      <c r="AQ15" s="532"/>
      <c r="AR15" s="525"/>
      <c r="AS15" s="525"/>
      <c r="AT15" s="525"/>
      <c r="AU15" s="525"/>
      <c r="AV15" s="525"/>
      <c r="AW15" s="525"/>
      <c r="AX15" s="525"/>
      <c r="AY15" s="525"/>
      <c r="AZ15" s="525"/>
      <c r="BA15" s="525"/>
      <c r="BB15" s="525"/>
      <c r="BC15" s="525"/>
      <c r="BD15" s="525"/>
      <c r="BE15" s="525"/>
      <c r="BF15" s="525"/>
      <c r="BG15" s="525"/>
      <c r="BH15" s="525"/>
      <c r="BI15" s="525"/>
      <c r="BJ15" s="525"/>
      <c r="BK15" s="525"/>
      <c r="BL15" s="525"/>
      <c r="BM15" s="525"/>
      <c r="BN15" s="525"/>
      <c r="BO15" s="525"/>
      <c r="BP15" s="525"/>
      <c r="BQ15" s="525"/>
      <c r="BR15" s="525"/>
      <c r="BS15" s="525"/>
      <c r="BT15" s="525"/>
      <c r="BU15" s="525"/>
    </row>
    <row r="16" spans="1:73" s="515" customFormat="1" ht="22.5" customHeight="1">
      <c r="A16" s="499"/>
      <c r="B16" s="303" t="s">
        <v>1359</v>
      </c>
      <c r="C16" s="377">
        <f>+'54'!C16+'53'!C16+'52'!C16+'51'!C16+'50'!C16</f>
        <v>0</v>
      </c>
      <c r="D16" s="378">
        <f>+'54'!D16+'53'!D16+'52'!D16+'51'!D16+'50'!D16</f>
        <v>2247</v>
      </c>
      <c r="E16" s="378">
        <f>+'54'!E16+'53'!E16+'52'!E16+'51'!E16+'50'!E16</f>
        <v>1629</v>
      </c>
      <c r="F16" s="378">
        <f>+'54'!F16+'53'!F16+'52'!F16+'51'!F16+'50'!F16</f>
        <v>1966</v>
      </c>
      <c r="G16" s="377">
        <f>+'54'!G16+'53'!G16+'52'!G16+'51'!G16+'50'!G16</f>
        <v>0</v>
      </c>
      <c r="H16" s="378">
        <f>+'54'!H16+'53'!H16+'52'!H16+'51'!H16+'50'!H16</f>
        <v>630</v>
      </c>
      <c r="I16" s="378">
        <f>+'54'!I16+'53'!I16+'52'!I16+'51'!I16+'50'!I16</f>
        <v>591</v>
      </c>
      <c r="J16" s="378">
        <f>+'54'!J16+'53'!J16+'52'!J16+'51'!J16+'50'!J16</f>
        <v>477</v>
      </c>
      <c r="K16" s="377">
        <f>+'54'!K16+'53'!K16+'52'!K16+'51'!K16+'50'!K16</f>
        <v>0</v>
      </c>
      <c r="L16" s="378">
        <f>+'54'!L16+'53'!L16+'52'!L16+'51'!L16+'50'!L16</f>
        <v>665</v>
      </c>
      <c r="M16" s="378">
        <f>+'54'!M16+'53'!M16+'52'!M16+'51'!M16+'50'!M16</f>
        <v>598</v>
      </c>
      <c r="N16" s="378">
        <f>+'54'!N16+'53'!N16+'52'!N16+'51'!N16+'50'!N16</f>
        <v>531</v>
      </c>
      <c r="O16" s="377">
        <f>+'54'!O16+'53'!O16+'52'!O16+'51'!O16+'50'!O16</f>
        <v>0</v>
      </c>
      <c r="P16" s="378">
        <f>+'54'!P16+'53'!P16+'52'!P16+'51'!P16+'50'!P16</f>
        <v>311</v>
      </c>
      <c r="Q16" s="378">
        <f>+'54'!Q16+'53'!Q16+'52'!Q16+'51'!Q16+'50'!Q16</f>
        <v>253</v>
      </c>
      <c r="R16" s="378">
        <f>+'54'!R16+'53'!R16+'52'!R16+'51'!R16+'50'!R16</f>
        <v>261</v>
      </c>
      <c r="S16" s="377">
        <f>+'54'!S16+'53'!S16+'52'!S16+'51'!S16+'50'!S16</f>
        <v>0</v>
      </c>
      <c r="T16" s="378">
        <f>+'54'!T16+'53'!T16+'52'!T16+'51'!T16+'50'!T16</f>
        <v>3</v>
      </c>
      <c r="U16" s="378">
        <f>+'54'!U16+'53'!U16+'52'!U16+'51'!U16+'50'!U16</f>
        <v>0</v>
      </c>
      <c r="V16" s="378">
        <f>+'54'!V16+'53'!V16+'52'!V16+'51'!V16+'50'!V16</f>
        <v>0</v>
      </c>
      <c r="W16" s="377">
        <f>+'54'!W16+'53'!W16+'52'!W16+'51'!W16+'50'!W16</f>
        <v>0</v>
      </c>
      <c r="X16" s="378">
        <f>+'54'!X16+'53'!X16+'52'!X16+'51'!X16+'50'!X16</f>
        <v>29</v>
      </c>
      <c r="Y16" s="378">
        <f>+'54'!Y16+'53'!Y16+'52'!Y16+'51'!Y16+'50'!Y16</f>
        <v>54</v>
      </c>
      <c r="Z16" s="500">
        <f>+'54'!Z16+'53'!Z16+'52'!Z16+'51'!Z16+'50'!Z16</f>
        <v>0</v>
      </c>
      <c r="AA16" s="378">
        <f t="shared" si="9"/>
        <v>0</v>
      </c>
      <c r="AB16" s="378">
        <f t="shared" si="9"/>
        <v>3885</v>
      </c>
      <c r="AC16" s="378">
        <f t="shared" si="9"/>
        <v>3125</v>
      </c>
      <c r="AD16" s="500">
        <f t="shared" si="9"/>
        <v>3235</v>
      </c>
      <c r="AE16" s="532"/>
      <c r="AF16" s="532"/>
      <c r="AG16" s="532"/>
      <c r="AH16" s="532"/>
      <c r="AI16" s="532"/>
      <c r="AJ16" s="532"/>
      <c r="AK16" s="532"/>
      <c r="AL16" s="532"/>
      <c r="AM16" s="532"/>
      <c r="AN16" s="532"/>
      <c r="AO16" s="532"/>
      <c r="AP16" s="532"/>
      <c r="AQ16" s="532"/>
      <c r="AR16" s="525"/>
      <c r="AS16" s="525"/>
      <c r="AT16" s="525"/>
      <c r="AU16" s="525"/>
      <c r="AV16" s="525"/>
      <c r="AW16" s="525"/>
      <c r="AX16" s="525"/>
      <c r="AY16" s="525"/>
      <c r="AZ16" s="525"/>
      <c r="BA16" s="525"/>
      <c r="BB16" s="525"/>
      <c r="BC16" s="525"/>
      <c r="BD16" s="525"/>
      <c r="BE16" s="525"/>
      <c r="BF16" s="525"/>
      <c r="BG16" s="525"/>
      <c r="BH16" s="525"/>
      <c r="BI16" s="525"/>
      <c r="BJ16" s="525"/>
      <c r="BK16" s="525"/>
      <c r="BL16" s="525"/>
      <c r="BM16" s="525"/>
      <c r="BN16" s="525"/>
      <c r="BO16" s="525"/>
      <c r="BP16" s="525"/>
      <c r="BQ16" s="525"/>
      <c r="BR16" s="525"/>
      <c r="BS16" s="525"/>
      <c r="BT16" s="525"/>
      <c r="BU16" s="525"/>
    </row>
    <row r="17" spans="1:73" s="515" customFormat="1" ht="22.5" customHeight="1">
      <c r="A17" s="1146"/>
      <c r="B17" s="350" t="s">
        <v>690</v>
      </c>
      <c r="C17" s="377">
        <f t="shared" ref="C17:AD17" si="10">SUM(C14:C16)</f>
        <v>29406</v>
      </c>
      <c r="D17" s="378">
        <f t="shared" si="10"/>
        <v>22749</v>
      </c>
      <c r="E17" s="378">
        <f t="shared" si="10"/>
        <v>16833</v>
      </c>
      <c r="F17" s="378">
        <f t="shared" si="10"/>
        <v>20615</v>
      </c>
      <c r="G17" s="377">
        <f t="shared" si="10"/>
        <v>3378</v>
      </c>
      <c r="H17" s="378">
        <f t="shared" si="10"/>
        <v>4908</v>
      </c>
      <c r="I17" s="378">
        <f t="shared" si="10"/>
        <v>5541</v>
      </c>
      <c r="J17" s="378">
        <f t="shared" ref="J17" si="11">SUM(J14:J16)</f>
        <v>4625</v>
      </c>
      <c r="K17" s="377">
        <f t="shared" si="10"/>
        <v>6318</v>
      </c>
      <c r="L17" s="378">
        <f t="shared" si="10"/>
        <v>6424</v>
      </c>
      <c r="M17" s="378">
        <f t="shared" si="10"/>
        <v>5997</v>
      </c>
      <c r="N17" s="378">
        <f t="shared" si="10"/>
        <v>5910</v>
      </c>
      <c r="O17" s="377">
        <f t="shared" si="10"/>
        <v>2810</v>
      </c>
      <c r="P17" s="378">
        <f t="shared" si="10"/>
        <v>3662</v>
      </c>
      <c r="Q17" s="378">
        <f t="shared" si="10"/>
        <v>3007</v>
      </c>
      <c r="R17" s="378">
        <f t="shared" si="10"/>
        <v>3551</v>
      </c>
      <c r="S17" s="377">
        <f t="shared" si="10"/>
        <v>1526</v>
      </c>
      <c r="T17" s="378">
        <f t="shared" si="10"/>
        <v>767</v>
      </c>
      <c r="U17" s="378">
        <f t="shared" si="10"/>
        <v>1234</v>
      </c>
      <c r="V17" s="378">
        <f t="shared" si="10"/>
        <v>1957</v>
      </c>
      <c r="W17" s="377">
        <f t="shared" si="10"/>
        <v>326</v>
      </c>
      <c r="X17" s="378">
        <f t="shared" si="10"/>
        <v>782</v>
      </c>
      <c r="Y17" s="378">
        <f t="shared" si="10"/>
        <v>536</v>
      </c>
      <c r="Z17" s="378">
        <f t="shared" si="10"/>
        <v>0</v>
      </c>
      <c r="AA17" s="377">
        <f t="shared" si="10"/>
        <v>43764</v>
      </c>
      <c r="AB17" s="378">
        <f t="shared" si="10"/>
        <v>39292</v>
      </c>
      <c r="AC17" s="378">
        <f t="shared" si="10"/>
        <v>33148</v>
      </c>
      <c r="AD17" s="500">
        <f t="shared" si="10"/>
        <v>36658</v>
      </c>
      <c r="AE17" s="532"/>
      <c r="AF17" s="532"/>
      <c r="AG17" s="532"/>
      <c r="AH17" s="532"/>
      <c r="AI17" s="532"/>
      <c r="AJ17" s="532"/>
      <c r="AK17" s="532"/>
      <c r="AL17" s="532"/>
      <c r="AM17" s="532"/>
      <c r="AN17" s="532"/>
      <c r="AO17" s="532"/>
      <c r="AP17" s="532"/>
      <c r="AQ17" s="532"/>
      <c r="AR17" s="525"/>
      <c r="AS17" s="525"/>
      <c r="AT17" s="525"/>
      <c r="AU17" s="525"/>
      <c r="AV17" s="525"/>
      <c r="AW17" s="525"/>
      <c r="AX17" s="525"/>
      <c r="AY17" s="525"/>
      <c r="AZ17" s="525"/>
      <c r="BA17" s="525"/>
      <c r="BB17" s="525"/>
      <c r="BC17" s="525"/>
      <c r="BD17" s="525"/>
      <c r="BE17" s="525"/>
      <c r="BF17" s="525"/>
      <c r="BG17" s="525"/>
      <c r="BH17" s="525"/>
      <c r="BI17" s="525"/>
      <c r="BJ17" s="525"/>
      <c r="BK17" s="525"/>
      <c r="BL17" s="525"/>
      <c r="BM17" s="525"/>
      <c r="BN17" s="525"/>
      <c r="BO17" s="525"/>
      <c r="BP17" s="525"/>
      <c r="BQ17" s="525"/>
      <c r="BR17" s="525"/>
      <c r="BS17" s="525"/>
      <c r="BT17" s="525"/>
      <c r="BU17" s="525"/>
    </row>
    <row r="18" spans="1:73" s="515" customFormat="1" ht="22.5" customHeight="1">
      <c r="A18" s="499" t="s">
        <v>1023</v>
      </c>
      <c r="B18" s="350" t="s">
        <v>892</v>
      </c>
      <c r="C18" s="377">
        <f>+'54'!C18+'53'!C18+'52'!C18+'51'!C18+'50'!C18</f>
        <v>15722</v>
      </c>
      <c r="D18" s="378">
        <f>+'54'!D18+'53'!D18+'52'!D18+'51'!D18+'50'!D18</f>
        <v>13621</v>
      </c>
      <c r="E18" s="378">
        <f>+'54'!E18+'53'!E18+'52'!E18+'51'!E18+'50'!E18</f>
        <v>10331</v>
      </c>
      <c r="F18" s="378">
        <f>+'54'!F18+'53'!F18+'52'!F18+'51'!F18+'50'!F18</f>
        <v>15025</v>
      </c>
      <c r="G18" s="377">
        <f>+'54'!G18+'53'!G18+'52'!G18+'51'!G18+'50'!G18</f>
        <v>2942</v>
      </c>
      <c r="H18" s="378">
        <f>+'54'!H18+'53'!H18+'52'!H18+'51'!H18+'50'!H18</f>
        <v>2944</v>
      </c>
      <c r="I18" s="378">
        <f>+'54'!I18+'53'!I18+'52'!I18+'51'!I18+'50'!I18</f>
        <v>2844</v>
      </c>
      <c r="J18" s="378">
        <f>+'54'!J18+'53'!J18+'52'!J18+'51'!J18+'50'!J18</f>
        <v>2136</v>
      </c>
      <c r="K18" s="377">
        <f>+'54'!K18+'53'!K18+'52'!K18+'51'!K18+'50'!K18</f>
        <v>4659</v>
      </c>
      <c r="L18" s="378">
        <f>+'54'!L18+'53'!L18+'52'!L18+'51'!L18+'50'!L18</f>
        <v>3960</v>
      </c>
      <c r="M18" s="378">
        <f>+'54'!M18+'53'!M18+'52'!M18+'51'!M18+'50'!M18</f>
        <v>3503</v>
      </c>
      <c r="N18" s="378">
        <f>+'54'!N18+'53'!N18+'52'!N18+'51'!N18+'50'!N18</f>
        <v>4366</v>
      </c>
      <c r="O18" s="377">
        <f>+'54'!O18+'53'!O18+'52'!O18+'51'!O18+'50'!O18</f>
        <v>2466</v>
      </c>
      <c r="P18" s="378">
        <f>+'54'!P18+'53'!P18+'52'!P18+'51'!P18+'50'!P18</f>
        <v>2701</v>
      </c>
      <c r="Q18" s="378">
        <f>+'54'!Q18+'53'!Q18+'52'!Q18+'51'!Q18+'50'!Q18</f>
        <v>1677</v>
      </c>
      <c r="R18" s="378">
        <f>+'54'!R18+'53'!R18+'52'!R18+'51'!R18+'50'!R18</f>
        <v>1918</v>
      </c>
      <c r="S18" s="377">
        <f>+'54'!S18+'53'!S18+'52'!S18+'51'!S18+'50'!S18</f>
        <v>386</v>
      </c>
      <c r="T18" s="378">
        <f>+'54'!T18+'53'!T18+'52'!T18+'51'!T18+'50'!T18</f>
        <v>251</v>
      </c>
      <c r="U18" s="378">
        <f>+'54'!U18+'53'!U18+'52'!U18+'51'!U18+'50'!U18</f>
        <v>106</v>
      </c>
      <c r="V18" s="378">
        <f>+'54'!V18+'53'!V18+'52'!V18+'51'!V18+'50'!V18</f>
        <v>664</v>
      </c>
      <c r="W18" s="377">
        <f>+'54'!W18+'53'!W18+'52'!W18+'51'!W18+'50'!W18</f>
        <v>931</v>
      </c>
      <c r="X18" s="378">
        <f>+'54'!X18+'53'!X18+'52'!X18+'51'!X18+'50'!X18</f>
        <v>780</v>
      </c>
      <c r="Y18" s="378">
        <f>+'54'!Y18+'53'!Y18+'52'!Y18+'51'!Y18+'50'!Y18</f>
        <v>829</v>
      </c>
      <c r="Z18" s="500">
        <f>+'54'!Z18+'53'!Z18+'52'!Z18+'51'!Z18+'50'!Z18</f>
        <v>592</v>
      </c>
      <c r="AA18" s="378">
        <f t="shared" ref="AA18:AD19" si="12">+W18+S18+O18+K18+G18+C18</f>
        <v>27106</v>
      </c>
      <c r="AB18" s="378">
        <f t="shared" si="12"/>
        <v>24257</v>
      </c>
      <c r="AC18" s="378">
        <f t="shared" si="12"/>
        <v>19290</v>
      </c>
      <c r="AD18" s="500">
        <f t="shared" si="12"/>
        <v>24701</v>
      </c>
      <c r="AE18" s="532"/>
      <c r="AF18" s="532"/>
      <c r="AG18" s="532"/>
      <c r="AH18" s="532"/>
      <c r="AI18" s="532"/>
      <c r="AJ18" s="532"/>
      <c r="AK18" s="532"/>
      <c r="AL18" s="532"/>
      <c r="AM18" s="532"/>
      <c r="AN18" s="532"/>
      <c r="AO18" s="532"/>
      <c r="AP18" s="532"/>
      <c r="AQ18" s="532"/>
      <c r="AR18" s="525"/>
      <c r="AS18" s="525"/>
      <c r="AT18" s="525"/>
      <c r="AU18" s="525"/>
      <c r="AV18" s="525"/>
      <c r="AW18" s="525"/>
      <c r="AX18" s="525"/>
      <c r="AY18" s="525"/>
      <c r="AZ18" s="525"/>
      <c r="BA18" s="525"/>
      <c r="BB18" s="525"/>
      <c r="BC18" s="525"/>
      <c r="BD18" s="525"/>
      <c r="BE18" s="525"/>
      <c r="BF18" s="525"/>
      <c r="BG18" s="525"/>
      <c r="BH18" s="525"/>
      <c r="BI18" s="525"/>
      <c r="BJ18" s="525"/>
      <c r="BK18" s="525"/>
      <c r="BL18" s="525"/>
      <c r="BM18" s="525"/>
      <c r="BN18" s="525"/>
      <c r="BO18" s="525"/>
      <c r="BP18" s="525"/>
      <c r="BQ18" s="525"/>
      <c r="BR18" s="525"/>
      <c r="BS18" s="525"/>
      <c r="BT18" s="525"/>
      <c r="BU18" s="525"/>
    </row>
    <row r="19" spans="1:73" s="515" customFormat="1" ht="22.5" customHeight="1">
      <c r="A19" s="499"/>
      <c r="B19" s="303" t="s">
        <v>1361</v>
      </c>
      <c r="C19" s="377">
        <f>+'54'!C19+'53'!C19+'52'!C19+'51'!C19+'50'!C19</f>
        <v>0</v>
      </c>
      <c r="D19" s="378">
        <f>+'54'!D19+'53'!D19+'52'!D19+'51'!D19+'50'!D19</f>
        <v>1639</v>
      </c>
      <c r="E19" s="378">
        <f>+'54'!E19+'53'!E19+'52'!E19+'51'!E19+'50'!E19</f>
        <v>1468</v>
      </c>
      <c r="F19" s="378">
        <f>+'54'!F19+'53'!F19+'52'!F19+'51'!F19+'50'!F19</f>
        <v>1483</v>
      </c>
      <c r="G19" s="377">
        <f>+'54'!G19+'53'!G19+'52'!G19+'51'!G19+'50'!G19</f>
        <v>0</v>
      </c>
      <c r="H19" s="378">
        <f>+'54'!H19+'53'!H19+'52'!H19+'51'!H19+'50'!H19</f>
        <v>324</v>
      </c>
      <c r="I19" s="378">
        <f>+'54'!I19+'53'!I19+'52'!I19+'51'!I19+'50'!I19</f>
        <v>309</v>
      </c>
      <c r="J19" s="378">
        <f>+'54'!J19+'53'!J19+'52'!J19+'51'!J19+'50'!J19</f>
        <v>340</v>
      </c>
      <c r="K19" s="377">
        <f>+'54'!K19+'53'!K19+'52'!K19+'51'!K19+'50'!K19</f>
        <v>0</v>
      </c>
      <c r="L19" s="378">
        <f>+'54'!L19+'53'!L19+'52'!L19+'51'!L19+'50'!L19</f>
        <v>374</v>
      </c>
      <c r="M19" s="378">
        <f>+'54'!M19+'53'!M19+'52'!M19+'51'!M19+'50'!M19</f>
        <v>354</v>
      </c>
      <c r="N19" s="378">
        <f>+'54'!N19+'53'!N19+'52'!N19+'51'!N19+'50'!N19</f>
        <v>384</v>
      </c>
      <c r="O19" s="377">
        <f>+'54'!O19+'53'!O19+'52'!O19+'51'!O19+'50'!O19</f>
        <v>0</v>
      </c>
      <c r="P19" s="378">
        <f>+'54'!P19+'53'!P19+'52'!P19+'51'!P19+'50'!P19</f>
        <v>270</v>
      </c>
      <c r="Q19" s="378">
        <f>+'54'!Q19+'53'!Q19+'52'!Q19+'51'!Q19+'50'!Q19</f>
        <v>257</v>
      </c>
      <c r="R19" s="378">
        <f>+'54'!R19+'53'!R19+'52'!R19+'51'!R19+'50'!R19</f>
        <v>317</v>
      </c>
      <c r="S19" s="377">
        <f>+'54'!S19+'53'!S19+'52'!S19+'51'!S19+'50'!S19</f>
        <v>0</v>
      </c>
      <c r="T19" s="378">
        <f>+'54'!T19+'53'!T19+'52'!T19+'51'!T19+'50'!T19</f>
        <v>2</v>
      </c>
      <c r="U19" s="378">
        <f>+'54'!U19+'53'!U19+'52'!U19+'51'!U19+'50'!U19</f>
        <v>0</v>
      </c>
      <c r="V19" s="378">
        <f>+'54'!V19+'53'!V19+'52'!V19+'51'!V19+'50'!V19</f>
        <v>0</v>
      </c>
      <c r="W19" s="377">
        <f>+'54'!W19+'53'!W19+'52'!W19+'51'!W19+'50'!W19</f>
        <v>0</v>
      </c>
      <c r="X19" s="378">
        <f>+'54'!X19+'53'!X19+'52'!X19+'51'!X19+'50'!X19</f>
        <v>50</v>
      </c>
      <c r="Y19" s="378">
        <f>+'54'!Y19+'53'!Y19+'52'!Y19+'51'!Y19+'50'!Y19</f>
        <v>54</v>
      </c>
      <c r="Z19" s="500">
        <f>+'54'!Z19+'53'!Z19+'52'!Z19+'51'!Z19+'50'!Z19</f>
        <v>70</v>
      </c>
      <c r="AA19" s="378">
        <f t="shared" si="12"/>
        <v>0</v>
      </c>
      <c r="AB19" s="378">
        <f t="shared" si="12"/>
        <v>2659</v>
      </c>
      <c r="AC19" s="378">
        <f t="shared" si="12"/>
        <v>2442</v>
      </c>
      <c r="AD19" s="500">
        <f>+Z19+V19+R19+N19+J19+F19</f>
        <v>2594</v>
      </c>
      <c r="AE19" s="532"/>
      <c r="AF19" s="532"/>
      <c r="AG19" s="532"/>
      <c r="AH19" s="532"/>
      <c r="AI19" s="532"/>
      <c r="AJ19" s="532"/>
      <c r="AK19" s="532"/>
      <c r="AL19" s="532"/>
      <c r="AM19" s="532"/>
      <c r="AN19" s="532"/>
      <c r="AO19" s="532"/>
      <c r="AP19" s="532"/>
      <c r="AQ19" s="532"/>
      <c r="AR19" s="525"/>
      <c r="AS19" s="525"/>
      <c r="AT19" s="525"/>
      <c r="AU19" s="525"/>
      <c r="AV19" s="525"/>
      <c r="AW19" s="525"/>
      <c r="AX19" s="525"/>
      <c r="AY19" s="525"/>
      <c r="AZ19" s="525"/>
      <c r="BA19" s="525"/>
      <c r="BB19" s="525"/>
      <c r="BC19" s="525"/>
      <c r="BD19" s="525"/>
      <c r="BE19" s="525"/>
      <c r="BF19" s="525"/>
      <c r="BG19" s="525"/>
      <c r="BH19" s="525"/>
      <c r="BI19" s="525"/>
      <c r="BJ19" s="525"/>
      <c r="BK19" s="525"/>
      <c r="BL19" s="525"/>
      <c r="BM19" s="525"/>
      <c r="BN19" s="525"/>
      <c r="BO19" s="525"/>
      <c r="BP19" s="525"/>
      <c r="BQ19" s="525"/>
      <c r="BR19" s="525"/>
      <c r="BS19" s="525"/>
      <c r="BT19" s="525"/>
      <c r="BU19" s="525"/>
    </row>
    <row r="20" spans="1:73" s="515" customFormat="1" ht="22.5" customHeight="1">
      <c r="A20" s="499"/>
      <c r="B20" s="350" t="s">
        <v>690</v>
      </c>
      <c r="C20" s="377">
        <f t="shared" ref="C20:AD20" si="13">SUM(C18:C19)</f>
        <v>15722</v>
      </c>
      <c r="D20" s="378">
        <f t="shared" si="13"/>
        <v>15260</v>
      </c>
      <c r="E20" s="378">
        <f t="shared" si="13"/>
        <v>11799</v>
      </c>
      <c r="F20" s="500">
        <f t="shared" si="13"/>
        <v>16508</v>
      </c>
      <c r="G20" s="377">
        <f t="shared" si="13"/>
        <v>2942</v>
      </c>
      <c r="H20" s="378">
        <f t="shared" si="13"/>
        <v>3268</v>
      </c>
      <c r="I20" s="378">
        <f t="shared" si="13"/>
        <v>3153</v>
      </c>
      <c r="J20" s="500">
        <f t="shared" ref="J20" si="14">SUM(J18:J19)</f>
        <v>2476</v>
      </c>
      <c r="K20" s="377">
        <f t="shared" si="13"/>
        <v>4659</v>
      </c>
      <c r="L20" s="378">
        <f t="shared" si="13"/>
        <v>4334</v>
      </c>
      <c r="M20" s="378">
        <f t="shared" si="13"/>
        <v>3857</v>
      </c>
      <c r="N20" s="500">
        <f t="shared" si="13"/>
        <v>4750</v>
      </c>
      <c r="O20" s="377">
        <f t="shared" si="13"/>
        <v>2466</v>
      </c>
      <c r="P20" s="378">
        <f t="shared" si="13"/>
        <v>2971</v>
      </c>
      <c r="Q20" s="378">
        <f t="shared" si="13"/>
        <v>1934</v>
      </c>
      <c r="R20" s="500">
        <f t="shared" si="13"/>
        <v>2235</v>
      </c>
      <c r="S20" s="377">
        <f t="shared" si="13"/>
        <v>386</v>
      </c>
      <c r="T20" s="378">
        <f t="shared" si="13"/>
        <v>253</v>
      </c>
      <c r="U20" s="378">
        <f t="shared" si="13"/>
        <v>106</v>
      </c>
      <c r="V20" s="500">
        <f t="shared" si="13"/>
        <v>664</v>
      </c>
      <c r="W20" s="377">
        <f t="shared" si="13"/>
        <v>931</v>
      </c>
      <c r="X20" s="378">
        <f t="shared" si="13"/>
        <v>830</v>
      </c>
      <c r="Y20" s="378">
        <f t="shared" si="13"/>
        <v>883</v>
      </c>
      <c r="Z20" s="500">
        <f t="shared" si="13"/>
        <v>662</v>
      </c>
      <c r="AA20" s="377">
        <f t="shared" si="13"/>
        <v>27106</v>
      </c>
      <c r="AB20" s="378">
        <f t="shared" si="13"/>
        <v>26916</v>
      </c>
      <c r="AC20" s="378">
        <f t="shared" si="13"/>
        <v>21732</v>
      </c>
      <c r="AD20" s="500">
        <f t="shared" si="13"/>
        <v>27295</v>
      </c>
      <c r="AE20" s="532"/>
      <c r="AF20" s="532"/>
      <c r="AG20" s="532"/>
      <c r="AH20" s="532"/>
      <c r="AI20" s="532"/>
      <c r="AJ20" s="532"/>
      <c r="AK20" s="532"/>
      <c r="AL20" s="532"/>
      <c r="AM20" s="532"/>
      <c r="AN20" s="532"/>
      <c r="AO20" s="532"/>
      <c r="AP20" s="532"/>
      <c r="AQ20" s="532"/>
      <c r="AR20" s="525"/>
      <c r="AS20" s="525"/>
      <c r="AT20" s="525"/>
      <c r="AU20" s="525"/>
      <c r="AV20" s="525"/>
      <c r="AW20" s="525"/>
      <c r="AX20" s="525"/>
      <c r="AY20" s="525"/>
      <c r="AZ20" s="525"/>
      <c r="BA20" s="525"/>
      <c r="BB20" s="525"/>
      <c r="BC20" s="525"/>
      <c r="BD20" s="525"/>
      <c r="BE20" s="525"/>
      <c r="BF20" s="525"/>
      <c r="BG20" s="525"/>
      <c r="BH20" s="525"/>
      <c r="BI20" s="525"/>
      <c r="BJ20" s="525"/>
      <c r="BK20" s="525"/>
      <c r="BL20" s="525"/>
      <c r="BM20" s="525"/>
      <c r="BN20" s="525"/>
      <c r="BO20" s="525"/>
      <c r="BP20" s="525"/>
      <c r="BQ20" s="525"/>
      <c r="BR20" s="525"/>
      <c r="BS20" s="525"/>
      <c r="BT20" s="525"/>
      <c r="BU20" s="525"/>
    </row>
    <row r="21" spans="1:73" s="515" customFormat="1" ht="22.5" customHeight="1">
      <c r="A21" s="499" t="s">
        <v>578</v>
      </c>
      <c r="B21" s="350" t="s">
        <v>893</v>
      </c>
      <c r="C21" s="377">
        <f>+'54'!C21+'53'!C21+'52'!C21+'51'!C21+'50'!C21</f>
        <v>16336</v>
      </c>
      <c r="D21" s="378">
        <f>+'54'!D21+'53'!D21+'52'!D21+'51'!D21+'50'!D21</f>
        <v>18133</v>
      </c>
      <c r="E21" s="378">
        <f>+'54'!E21+'53'!E21+'52'!E21+'51'!E21+'50'!E21</f>
        <v>21349</v>
      </c>
      <c r="F21" s="378">
        <f>+'54'!F21+'53'!F21+'52'!F21+'51'!F21+'50'!F21</f>
        <v>16048</v>
      </c>
      <c r="G21" s="377">
        <f>+'54'!G21+'53'!G21+'52'!G21+'51'!G21+'50'!G21</f>
        <v>1696</v>
      </c>
      <c r="H21" s="378">
        <f>+'54'!H21+'53'!H21+'52'!H21+'51'!H21+'50'!H21</f>
        <v>2172</v>
      </c>
      <c r="I21" s="378">
        <f>+'54'!I21+'53'!I21+'52'!I21+'51'!I21+'50'!I21</f>
        <v>1863</v>
      </c>
      <c r="J21" s="378">
        <f>+'54'!J21+'53'!J21+'52'!J21+'51'!J21+'50'!J21</f>
        <v>2999</v>
      </c>
      <c r="K21" s="377">
        <f>+'54'!K21+'53'!K21+'52'!K21+'51'!K21+'50'!K21</f>
        <v>3239</v>
      </c>
      <c r="L21" s="378">
        <f>+'54'!L21+'53'!L21+'52'!L21+'51'!L21+'50'!L21</f>
        <v>4021</v>
      </c>
      <c r="M21" s="378">
        <f>+'54'!M21+'53'!M21+'52'!M21+'51'!M21+'50'!M21</f>
        <v>5126</v>
      </c>
      <c r="N21" s="378">
        <f>+'54'!N21+'53'!N21+'52'!N21+'51'!N21+'50'!N21</f>
        <v>4899</v>
      </c>
      <c r="O21" s="377">
        <f>+'54'!O21+'53'!O21+'52'!O21+'51'!O21+'50'!O21</f>
        <v>1945</v>
      </c>
      <c r="P21" s="378">
        <f>+'54'!P21+'53'!P21+'52'!P21+'51'!P21+'50'!P21</f>
        <v>2283</v>
      </c>
      <c r="Q21" s="378">
        <f>+'54'!Q21+'53'!Q21+'52'!Q21+'51'!Q21+'50'!Q21</f>
        <v>2176</v>
      </c>
      <c r="R21" s="378">
        <f>+'54'!R21+'53'!R21+'52'!R21+'51'!R21+'50'!R21</f>
        <v>2265</v>
      </c>
      <c r="S21" s="377">
        <f>+'54'!S21+'53'!S21+'52'!S21+'51'!S21+'50'!S21</f>
        <v>367</v>
      </c>
      <c r="T21" s="378">
        <f>+'54'!T21+'53'!T21+'52'!T21+'51'!T21+'50'!T21</f>
        <v>434</v>
      </c>
      <c r="U21" s="378">
        <f>+'54'!U21+'53'!U21+'52'!U21+'51'!U21+'50'!U21</f>
        <v>368</v>
      </c>
      <c r="V21" s="378">
        <f>+'54'!V21+'53'!V21+'52'!V21+'51'!V21+'50'!V21</f>
        <v>1017</v>
      </c>
      <c r="W21" s="377">
        <f>+'54'!W21+'53'!W21+'52'!W21+'51'!W21+'50'!W21</f>
        <v>496</v>
      </c>
      <c r="X21" s="378">
        <f>+'54'!X21+'53'!X21+'52'!X21+'51'!X21+'50'!X21</f>
        <v>390</v>
      </c>
      <c r="Y21" s="378">
        <f>+'54'!Y21+'53'!Y21+'52'!Y21+'51'!Y21+'50'!Y21</f>
        <v>986</v>
      </c>
      <c r="Z21" s="500">
        <f>+'54'!Z21+'53'!Z21+'52'!Z21+'51'!Z21+'50'!Z21</f>
        <v>97</v>
      </c>
      <c r="AA21" s="378">
        <f>+W21+S21+O21+K21+G21+C21</f>
        <v>24079</v>
      </c>
      <c r="AB21" s="378">
        <f>+X21+T21+P21+L21+H21+D21</f>
        <v>27433</v>
      </c>
      <c r="AC21" s="378">
        <f>+Y21+U21+Q21+M21+I21+E21</f>
        <v>31868</v>
      </c>
      <c r="AD21" s="500">
        <f>+Z21+V21+R21+N21+J21+F21</f>
        <v>27325</v>
      </c>
      <c r="AE21" s="532"/>
      <c r="AF21" s="532"/>
      <c r="AG21" s="532"/>
      <c r="AH21" s="532"/>
      <c r="AI21" s="532"/>
      <c r="AJ21" s="532"/>
      <c r="AK21" s="532"/>
      <c r="AL21" s="532"/>
      <c r="AM21" s="532"/>
      <c r="AN21" s="532"/>
      <c r="AO21" s="532"/>
      <c r="AP21" s="532"/>
      <c r="AQ21" s="532"/>
      <c r="AR21" s="525"/>
      <c r="AS21" s="525"/>
      <c r="AT21" s="525"/>
      <c r="AU21" s="525"/>
      <c r="AV21" s="525"/>
      <c r="AW21" s="525"/>
      <c r="AX21" s="525"/>
      <c r="AY21" s="525"/>
      <c r="AZ21" s="525"/>
      <c r="BA21" s="525"/>
      <c r="BB21" s="525"/>
      <c r="BC21" s="525"/>
      <c r="BD21" s="525"/>
      <c r="BE21" s="525"/>
      <c r="BF21" s="525"/>
      <c r="BG21" s="525"/>
      <c r="BH21" s="525"/>
      <c r="BI21" s="525"/>
      <c r="BJ21" s="525"/>
      <c r="BK21" s="525"/>
      <c r="BL21" s="525"/>
      <c r="BM21" s="525"/>
      <c r="BN21" s="525"/>
      <c r="BO21" s="525"/>
      <c r="BP21" s="525"/>
      <c r="BQ21" s="525"/>
      <c r="BR21" s="525"/>
      <c r="BS21" s="525"/>
      <c r="BT21" s="525"/>
      <c r="BU21" s="525"/>
    </row>
    <row r="22" spans="1:73" s="515" customFormat="1" ht="22.5" customHeight="1">
      <c r="A22" s="509" t="s">
        <v>1024</v>
      </c>
      <c r="B22" s="505"/>
      <c r="C22" s="506">
        <f t="shared" ref="C22:AD22" si="15">+C13+C17+C20+C21</f>
        <v>116420</v>
      </c>
      <c r="D22" s="507">
        <f t="shared" si="15"/>
        <v>119104</v>
      </c>
      <c r="E22" s="507">
        <f>+E13+E17+E20+E21</f>
        <v>100249</v>
      </c>
      <c r="F22" s="507">
        <f t="shared" si="15"/>
        <v>102729</v>
      </c>
      <c r="G22" s="506">
        <f t="shared" si="15"/>
        <v>18371</v>
      </c>
      <c r="H22" s="507">
        <f t="shared" si="15"/>
        <v>21947</v>
      </c>
      <c r="I22" s="507">
        <f t="shared" si="15"/>
        <v>22037</v>
      </c>
      <c r="J22" s="507">
        <f t="shared" ref="J22" si="16">+J13+J17+J20+J21</f>
        <v>22610</v>
      </c>
      <c r="K22" s="506">
        <f t="shared" si="15"/>
        <v>35779</v>
      </c>
      <c r="L22" s="507">
        <f t="shared" si="15"/>
        <v>34599</v>
      </c>
      <c r="M22" s="507">
        <f t="shared" si="15"/>
        <v>32444</v>
      </c>
      <c r="N22" s="507">
        <f t="shared" si="15"/>
        <v>33831</v>
      </c>
      <c r="O22" s="506">
        <f t="shared" si="15"/>
        <v>21989</v>
      </c>
      <c r="P22" s="507">
        <f t="shared" si="15"/>
        <v>23467</v>
      </c>
      <c r="Q22" s="507">
        <f t="shared" si="15"/>
        <v>20345</v>
      </c>
      <c r="R22" s="507">
        <f t="shared" si="15"/>
        <v>22002</v>
      </c>
      <c r="S22" s="506">
        <f t="shared" si="15"/>
        <v>4687</v>
      </c>
      <c r="T22" s="507">
        <f t="shared" si="15"/>
        <v>3270</v>
      </c>
      <c r="U22" s="507">
        <f t="shared" si="15"/>
        <v>3367</v>
      </c>
      <c r="V22" s="507">
        <f t="shared" si="15"/>
        <v>5392</v>
      </c>
      <c r="W22" s="506">
        <f t="shared" si="15"/>
        <v>5903</v>
      </c>
      <c r="X22" s="507">
        <f t="shared" si="15"/>
        <v>6315</v>
      </c>
      <c r="Y22" s="507">
        <f t="shared" si="15"/>
        <v>5909</v>
      </c>
      <c r="Z22" s="507">
        <f t="shared" si="15"/>
        <v>1106</v>
      </c>
      <c r="AA22" s="506">
        <f t="shared" si="15"/>
        <v>203149</v>
      </c>
      <c r="AB22" s="507">
        <f t="shared" si="15"/>
        <v>208702</v>
      </c>
      <c r="AC22" s="507">
        <f t="shared" si="15"/>
        <v>184351</v>
      </c>
      <c r="AD22" s="508">
        <f t="shared" si="15"/>
        <v>187670</v>
      </c>
      <c r="AE22" s="532"/>
      <c r="AF22" s="532"/>
      <c r="AG22" s="533"/>
      <c r="AH22" s="533"/>
      <c r="AI22" s="533"/>
      <c r="AJ22" s="533"/>
      <c r="AK22" s="533"/>
      <c r="AL22" s="533"/>
      <c r="AM22" s="533"/>
      <c r="AN22" s="533"/>
      <c r="AO22" s="533"/>
      <c r="AP22" s="533"/>
      <c r="AQ22" s="533"/>
      <c r="AR22" s="526"/>
      <c r="AS22" s="526"/>
      <c r="AT22" s="526"/>
      <c r="AU22" s="526"/>
      <c r="AV22" s="526"/>
      <c r="AW22" s="526"/>
      <c r="AX22" s="526"/>
      <c r="AY22" s="526"/>
      <c r="AZ22" s="526"/>
      <c r="BA22" s="526"/>
      <c r="BB22" s="526"/>
      <c r="BC22" s="526"/>
      <c r="BD22" s="526"/>
      <c r="BE22" s="526"/>
      <c r="BF22" s="526"/>
      <c r="BG22" s="526"/>
      <c r="BH22" s="526"/>
      <c r="BI22" s="526"/>
      <c r="BJ22" s="526"/>
      <c r="BK22" s="526"/>
      <c r="BL22" s="526"/>
      <c r="BM22" s="525"/>
      <c r="BN22" s="525"/>
      <c r="BO22" s="525"/>
      <c r="BP22" s="525"/>
      <c r="BQ22" s="525"/>
      <c r="BR22" s="525"/>
      <c r="BS22" s="525"/>
      <c r="BT22" s="525"/>
      <c r="BU22" s="525"/>
    </row>
    <row r="23" spans="1:73" s="515" customFormat="1" ht="22.5" customHeight="1">
      <c r="A23" s="499" t="s">
        <v>1025</v>
      </c>
      <c r="B23" s="350" t="s">
        <v>895</v>
      </c>
      <c r="C23" s="377">
        <f>+'54'!C23+'53'!C23+'52'!C23+'51'!C23+'50'!C23</f>
        <v>32961</v>
      </c>
      <c r="D23" s="378">
        <f>+'54'!D23+'53'!D23+'52'!D23+'51'!D23+'50'!D23</f>
        <v>31004</v>
      </c>
      <c r="E23" s="378">
        <f>+'54'!E23+'53'!E23+'52'!E23+'51'!E23+'50'!E23</f>
        <v>29650</v>
      </c>
      <c r="F23" s="378">
        <f>+'54'!F23+'53'!F23+'52'!F23+'51'!F23+'50'!F23</f>
        <v>29287</v>
      </c>
      <c r="G23" s="377">
        <f>+'54'!G23+'53'!G23+'52'!G23+'51'!G23+'50'!G23</f>
        <v>5969</v>
      </c>
      <c r="H23" s="378">
        <f>+'54'!H23+'53'!H23+'52'!H23+'51'!H23+'50'!H23</f>
        <v>6608</v>
      </c>
      <c r="I23" s="378">
        <f>+'54'!I23+'53'!I23+'52'!I23+'51'!I23+'50'!I23</f>
        <v>6273</v>
      </c>
      <c r="J23" s="378">
        <f>+'54'!J23+'53'!J23+'52'!J23+'51'!J23+'50'!J23</f>
        <v>6040</v>
      </c>
      <c r="K23" s="377">
        <f>+'54'!K23+'53'!K23+'52'!K23+'51'!K23+'50'!K23</f>
        <v>8902</v>
      </c>
      <c r="L23" s="378">
        <f>+'54'!L23+'53'!L23+'52'!L23+'51'!L23+'50'!L23</f>
        <v>9189</v>
      </c>
      <c r="M23" s="378">
        <f>+'54'!M23+'53'!M23+'52'!M23+'51'!M23+'50'!M23</f>
        <v>7632</v>
      </c>
      <c r="N23" s="378">
        <f>+'54'!N23+'53'!N23+'52'!N23+'51'!N23+'50'!N23</f>
        <v>8097</v>
      </c>
      <c r="O23" s="377">
        <f>+'54'!O23+'53'!O23+'52'!O23+'51'!O23+'50'!O23</f>
        <v>7534</v>
      </c>
      <c r="P23" s="378">
        <f>+'54'!P23+'53'!P23+'52'!P23+'51'!P23+'50'!P23</f>
        <v>7557</v>
      </c>
      <c r="Q23" s="378">
        <f>+'54'!Q23+'53'!Q23+'52'!Q23+'51'!Q23+'50'!Q23</f>
        <v>6285</v>
      </c>
      <c r="R23" s="378">
        <f>+'54'!R23+'53'!R23+'52'!R23+'51'!R23+'50'!R23</f>
        <v>6535</v>
      </c>
      <c r="S23" s="377">
        <f>+'54'!S23+'53'!S23+'52'!S23+'51'!S23+'50'!S23</f>
        <v>1276</v>
      </c>
      <c r="T23" s="378">
        <f>+'54'!T23+'53'!T23+'52'!T23+'51'!T23+'50'!T23</f>
        <v>1656</v>
      </c>
      <c r="U23" s="378">
        <f>+'54'!U23+'53'!U23+'52'!U23+'51'!U23+'50'!U23</f>
        <v>1139</v>
      </c>
      <c r="V23" s="378">
        <f>+'54'!V23+'53'!V23+'52'!V23+'51'!V23+'50'!V23</f>
        <v>1535</v>
      </c>
      <c r="W23" s="377">
        <f>+'54'!W23+'53'!W23+'52'!W23+'51'!W23+'50'!W23</f>
        <v>1937</v>
      </c>
      <c r="X23" s="378">
        <f>+'54'!X23+'53'!X23+'52'!X23+'51'!X23+'50'!X23</f>
        <v>1725</v>
      </c>
      <c r="Y23" s="378">
        <f>+'54'!Y23+'53'!Y23+'52'!Y23+'51'!Y23+'50'!Y23</f>
        <v>1847</v>
      </c>
      <c r="Z23" s="500">
        <f>+'54'!Z23+'53'!Z23+'52'!Z23+'51'!Z23+'50'!Z23</f>
        <v>0</v>
      </c>
      <c r="AA23" s="378">
        <f>+W23+S23+O23+K23+G23+C23</f>
        <v>58579</v>
      </c>
      <c r="AB23" s="378">
        <f>+X23+T23+P23+L23+H23+D23</f>
        <v>57739</v>
      </c>
      <c r="AC23" s="378">
        <f>+Y23+U23+Q23+M23+I23+E23</f>
        <v>52826</v>
      </c>
      <c r="AD23" s="500">
        <f>+Z23+V23+R23+N23+J23+F23</f>
        <v>51494</v>
      </c>
      <c r="AE23" s="532"/>
      <c r="AF23" s="532"/>
      <c r="AG23" s="532"/>
      <c r="AH23" s="532"/>
      <c r="AI23" s="532"/>
      <c r="AJ23" s="532"/>
      <c r="AK23" s="532"/>
      <c r="AL23" s="532"/>
      <c r="AM23" s="532"/>
      <c r="AN23" s="532"/>
      <c r="AO23" s="532"/>
      <c r="AP23" s="532"/>
      <c r="AQ23" s="532"/>
      <c r="AR23" s="525"/>
      <c r="AS23" s="525"/>
      <c r="AT23" s="525"/>
      <c r="AU23" s="525"/>
      <c r="AV23" s="525"/>
      <c r="AW23" s="525"/>
      <c r="AX23" s="525"/>
      <c r="AY23" s="525"/>
      <c r="AZ23" s="525"/>
      <c r="BA23" s="525"/>
      <c r="BB23" s="525"/>
      <c r="BC23" s="525"/>
      <c r="BD23" s="525"/>
      <c r="BE23" s="525"/>
      <c r="BF23" s="525"/>
      <c r="BG23" s="525"/>
      <c r="BH23" s="525"/>
      <c r="BI23" s="525"/>
      <c r="BJ23" s="525"/>
      <c r="BK23" s="525"/>
      <c r="BL23" s="525"/>
      <c r="BM23" s="525"/>
      <c r="BN23" s="525"/>
      <c r="BO23" s="525"/>
      <c r="BP23" s="525"/>
      <c r="BQ23" s="525"/>
      <c r="BR23" s="525"/>
      <c r="BS23" s="525"/>
      <c r="BT23" s="525"/>
      <c r="BU23" s="525"/>
    </row>
    <row r="24" spans="1:73" s="515" customFormat="1" ht="22.5" customHeight="1">
      <c r="A24" s="499"/>
      <c r="B24" s="350" t="s">
        <v>896</v>
      </c>
      <c r="C24" s="377">
        <f>+'54'!C24+'53'!C24+'52'!C24+'51'!C24+'50'!C24</f>
        <v>37617</v>
      </c>
      <c r="D24" s="378">
        <f>+'54'!D24+'53'!D24+'52'!D24+'51'!D24+'50'!D24</f>
        <v>41057</v>
      </c>
      <c r="E24" s="378">
        <f>+'54'!E24+'53'!E24+'52'!E24+'51'!E24+'50'!E24</f>
        <v>42023</v>
      </c>
      <c r="F24" s="378">
        <f>+'54'!F24+'53'!F24+'52'!F24+'51'!F24+'50'!F24</f>
        <v>43782</v>
      </c>
      <c r="G24" s="377">
        <f>+'54'!G24+'53'!G24+'52'!G24+'51'!G24+'50'!G24</f>
        <v>6966</v>
      </c>
      <c r="H24" s="378">
        <f>+'54'!H24+'53'!H24+'52'!H24+'51'!H24+'50'!H24</f>
        <v>6897</v>
      </c>
      <c r="I24" s="378">
        <f>+'54'!I24+'53'!I24+'52'!I24+'51'!I24+'50'!I24</f>
        <v>6195</v>
      </c>
      <c r="J24" s="378">
        <f>+'54'!J24+'53'!J24+'52'!J24+'51'!J24+'50'!J24</f>
        <v>7157</v>
      </c>
      <c r="K24" s="377">
        <f>+'54'!K24+'53'!K24+'52'!K24+'51'!K24+'50'!K24</f>
        <v>21079</v>
      </c>
      <c r="L24" s="378">
        <f>+'54'!L24+'53'!L24+'52'!L24+'51'!L24+'50'!L24</f>
        <v>20366</v>
      </c>
      <c r="M24" s="378">
        <f>+'54'!M24+'53'!M24+'52'!M24+'51'!M24+'50'!M24</f>
        <v>21778</v>
      </c>
      <c r="N24" s="378">
        <f>+'54'!N24+'53'!N24+'52'!N24+'51'!N24+'50'!N24</f>
        <v>12350</v>
      </c>
      <c r="O24" s="377">
        <f>+'54'!O24+'53'!O24+'52'!O24+'51'!O24+'50'!O24</f>
        <v>6649</v>
      </c>
      <c r="P24" s="378">
        <f>+'54'!P24+'53'!P24+'52'!P24+'51'!P24+'50'!P24</f>
        <v>5242</v>
      </c>
      <c r="Q24" s="378">
        <f>+'54'!Q24+'53'!Q24+'52'!Q24+'51'!Q24+'50'!Q24</f>
        <v>7072</v>
      </c>
      <c r="R24" s="378">
        <f>+'54'!R24+'53'!R24+'52'!R24+'51'!R24+'50'!R24</f>
        <v>8206</v>
      </c>
      <c r="S24" s="377">
        <f>+'54'!S24+'53'!S24+'52'!S24+'51'!S24+'50'!S24</f>
        <v>2047</v>
      </c>
      <c r="T24" s="378">
        <f>+'54'!T24+'53'!T24+'52'!T24+'51'!T24+'50'!T24</f>
        <v>2210</v>
      </c>
      <c r="U24" s="378">
        <f>+'54'!U24+'53'!U24+'52'!U24+'51'!U24+'50'!U24</f>
        <v>2801</v>
      </c>
      <c r="V24" s="378">
        <f>+'54'!V24+'53'!V24+'52'!V24+'51'!V24+'50'!V24</f>
        <v>2875</v>
      </c>
      <c r="W24" s="377">
        <f>+'54'!W24+'53'!W24+'52'!W24+'51'!W24+'50'!W24</f>
        <v>2295</v>
      </c>
      <c r="X24" s="378">
        <f>+'54'!X24+'53'!X24+'52'!X24+'51'!X24+'50'!X24</f>
        <v>1828</v>
      </c>
      <c r="Y24" s="378">
        <f>+'54'!Y24+'53'!Y24+'52'!Y24+'51'!Y24+'50'!Y24</f>
        <v>1984</v>
      </c>
      <c r="Z24" s="500">
        <f>+'54'!Z24+'53'!Z24+'52'!Z24+'51'!Z24+'50'!Z24</f>
        <v>93</v>
      </c>
      <c r="AA24" s="378">
        <f t="shared" ref="AA24:AD25" si="17">+W24+S24+O24+K24+G24+C24</f>
        <v>76653</v>
      </c>
      <c r="AB24" s="378">
        <f t="shared" si="17"/>
        <v>77600</v>
      </c>
      <c r="AC24" s="378">
        <f t="shared" si="17"/>
        <v>81853</v>
      </c>
      <c r="AD24" s="500">
        <f t="shared" si="17"/>
        <v>74463</v>
      </c>
      <c r="AE24" s="532"/>
      <c r="AF24" s="532"/>
      <c r="AG24" s="532"/>
      <c r="AH24" s="532"/>
      <c r="AI24" s="532"/>
      <c r="AJ24" s="532"/>
      <c r="AK24" s="532"/>
      <c r="AL24" s="532"/>
      <c r="AM24" s="532"/>
      <c r="AN24" s="532"/>
      <c r="AO24" s="532"/>
      <c r="AP24" s="532"/>
      <c r="AQ24" s="532"/>
      <c r="AR24" s="525"/>
      <c r="AS24" s="525"/>
      <c r="AT24" s="525"/>
      <c r="AU24" s="525"/>
      <c r="AV24" s="525"/>
      <c r="AW24" s="525"/>
      <c r="AX24" s="525"/>
      <c r="AY24" s="525"/>
      <c r="AZ24" s="525"/>
      <c r="BA24" s="525"/>
      <c r="BB24" s="525"/>
      <c r="BC24" s="525"/>
      <c r="BD24" s="525"/>
      <c r="BE24" s="525"/>
      <c r="BF24" s="525"/>
      <c r="BG24" s="525"/>
      <c r="BH24" s="525"/>
      <c r="BI24" s="525"/>
      <c r="BJ24" s="525"/>
      <c r="BK24" s="525"/>
      <c r="BL24" s="525"/>
      <c r="BM24" s="525"/>
      <c r="BN24" s="525"/>
      <c r="BO24" s="525"/>
      <c r="BP24" s="525"/>
      <c r="BQ24" s="525"/>
      <c r="BR24" s="525"/>
      <c r="BS24" s="525"/>
      <c r="BT24" s="525"/>
      <c r="BU24" s="525"/>
    </row>
    <row r="25" spans="1:73" s="515" customFormat="1" ht="22.5" customHeight="1">
      <c r="A25" s="499"/>
      <c r="B25" s="350" t="s">
        <v>586</v>
      </c>
      <c r="C25" s="377">
        <f>+'54'!C25+'53'!C25+'52'!C25+'51'!C25+'50'!C25</f>
        <v>2817</v>
      </c>
      <c r="D25" s="378">
        <f>+'54'!D25+'53'!D25+'52'!D25+'51'!D25+'50'!D25</f>
        <v>3861</v>
      </c>
      <c r="E25" s="378">
        <f>+'54'!E25+'53'!E25+'52'!E25+'51'!E25+'50'!E25</f>
        <v>4114</v>
      </c>
      <c r="F25" s="378">
        <f>+'54'!F25+'53'!F25+'52'!F25+'51'!F25+'50'!F25</f>
        <v>4694</v>
      </c>
      <c r="G25" s="377">
        <f>+'54'!G25+'53'!G25+'52'!G25+'51'!G25+'50'!G25</f>
        <v>1072</v>
      </c>
      <c r="H25" s="378">
        <f>+'54'!H25+'53'!H25+'52'!H25+'51'!H25+'50'!H25</f>
        <v>1059</v>
      </c>
      <c r="I25" s="378">
        <f>+'54'!I25+'53'!I25+'52'!I25+'51'!I25+'50'!I25</f>
        <v>947</v>
      </c>
      <c r="J25" s="378">
        <f>+'54'!J25+'53'!J25+'52'!J25+'51'!J25+'50'!J25</f>
        <v>886</v>
      </c>
      <c r="K25" s="377">
        <f>+'54'!K25+'53'!K25+'52'!K25+'51'!K25+'50'!K25</f>
        <v>1705</v>
      </c>
      <c r="L25" s="378">
        <f>+'54'!L25+'53'!L25+'52'!L25+'51'!L25+'50'!L25</f>
        <v>1920</v>
      </c>
      <c r="M25" s="378">
        <f>+'54'!M25+'53'!M25+'52'!M25+'51'!M25+'50'!M25</f>
        <v>1733</v>
      </c>
      <c r="N25" s="378">
        <f>+'54'!N25+'53'!N25+'52'!N25+'51'!N25+'50'!N25</f>
        <v>1196</v>
      </c>
      <c r="O25" s="377">
        <f>+'54'!O25+'53'!O25+'52'!O25+'51'!O25+'50'!O25</f>
        <v>0</v>
      </c>
      <c r="P25" s="378">
        <f>+'54'!P25+'53'!P25+'52'!P25+'51'!P25+'50'!P25</f>
        <v>711</v>
      </c>
      <c r="Q25" s="378">
        <f>+'54'!Q25+'53'!Q25+'52'!Q25+'51'!Q25+'50'!Q25</f>
        <v>860</v>
      </c>
      <c r="R25" s="378">
        <f>+'54'!R25+'53'!R25+'52'!R25+'51'!R25+'50'!R25</f>
        <v>1083</v>
      </c>
      <c r="S25" s="377">
        <f>+'54'!S25+'53'!S25+'52'!S25+'51'!S25+'50'!S25</f>
        <v>0</v>
      </c>
      <c r="T25" s="378">
        <f>+'54'!T25+'53'!T25+'52'!T25+'51'!T25+'50'!T25</f>
        <v>117</v>
      </c>
      <c r="U25" s="378">
        <f>+'54'!U25+'53'!U25+'52'!U25+'51'!U25+'50'!U25</f>
        <v>146</v>
      </c>
      <c r="V25" s="378">
        <f>+'54'!V25+'53'!V25+'52'!V25+'51'!V25+'50'!V25</f>
        <v>87</v>
      </c>
      <c r="W25" s="377">
        <f>+'54'!W25+'53'!W25+'52'!W25+'51'!W25+'50'!W25</f>
        <v>0</v>
      </c>
      <c r="X25" s="378">
        <f>+'54'!X25+'53'!X25+'52'!X25+'51'!X25+'50'!X25</f>
        <v>107</v>
      </c>
      <c r="Y25" s="378">
        <f>+'54'!Y25+'53'!Y25+'52'!Y25+'51'!Y25+'50'!Y25</f>
        <v>99</v>
      </c>
      <c r="Z25" s="500">
        <f>+'54'!Z25+'53'!Z25+'52'!Z25+'51'!Z25+'50'!Z25</f>
        <v>0</v>
      </c>
      <c r="AA25" s="378">
        <f t="shared" si="17"/>
        <v>5594</v>
      </c>
      <c r="AB25" s="378">
        <f t="shared" si="17"/>
        <v>7775</v>
      </c>
      <c r="AC25" s="378">
        <f t="shared" si="17"/>
        <v>7899</v>
      </c>
      <c r="AD25" s="500">
        <f t="shared" si="17"/>
        <v>7946</v>
      </c>
      <c r="AE25" s="532"/>
      <c r="AF25" s="532"/>
      <c r="AG25" s="532"/>
      <c r="AH25" s="532"/>
      <c r="AI25" s="532"/>
      <c r="AJ25" s="532"/>
      <c r="AK25" s="532"/>
      <c r="AL25" s="532"/>
      <c r="AM25" s="532"/>
      <c r="AN25" s="532"/>
      <c r="AO25" s="532"/>
      <c r="AP25" s="532"/>
      <c r="AQ25" s="532"/>
      <c r="AR25" s="525"/>
      <c r="AS25" s="525"/>
      <c r="AT25" s="525"/>
      <c r="AU25" s="525"/>
      <c r="AV25" s="525"/>
      <c r="AW25" s="525"/>
      <c r="AX25" s="525"/>
      <c r="AY25" s="525"/>
      <c r="AZ25" s="525"/>
      <c r="BA25" s="525"/>
      <c r="BB25" s="525"/>
      <c r="BC25" s="525"/>
      <c r="BD25" s="525"/>
      <c r="BE25" s="525"/>
      <c r="BF25" s="525"/>
      <c r="BG25" s="525"/>
      <c r="BH25" s="525"/>
      <c r="BI25" s="525"/>
      <c r="BJ25" s="525"/>
      <c r="BK25" s="525"/>
      <c r="BL25" s="525"/>
      <c r="BM25" s="525"/>
      <c r="BN25" s="525"/>
      <c r="BO25" s="525"/>
      <c r="BP25" s="525"/>
      <c r="BQ25" s="525"/>
      <c r="BR25" s="525"/>
      <c r="BS25" s="525"/>
      <c r="BT25" s="525"/>
      <c r="BU25" s="525"/>
    </row>
    <row r="26" spans="1:73" s="515" customFormat="1" ht="22.5" customHeight="1">
      <c r="A26" s="499"/>
      <c r="B26" s="350" t="s">
        <v>897</v>
      </c>
      <c r="C26" s="377">
        <f>+'54'!C26+'53'!C26+'52'!C26+'51'!C26+'50'!C26</f>
        <v>8296</v>
      </c>
      <c r="D26" s="378">
        <f>+'54'!D26+'53'!D26+'52'!D26+'51'!D26+'50'!D26</f>
        <v>7933</v>
      </c>
      <c r="E26" s="378">
        <f>+'54'!E26+'53'!E26+'52'!E26+'51'!E26+'50'!E26</f>
        <v>8381</v>
      </c>
      <c r="F26" s="378">
        <f>+'54'!F26+'53'!F26+'52'!F26+'51'!F26+'50'!F26</f>
        <v>9619</v>
      </c>
      <c r="G26" s="377">
        <f>+'54'!G26+'53'!G26+'52'!G26+'51'!G26+'50'!G26</f>
        <v>974</v>
      </c>
      <c r="H26" s="378">
        <f>+'54'!H26+'53'!H26+'52'!H26+'51'!H26+'50'!H26</f>
        <v>1178</v>
      </c>
      <c r="I26" s="378">
        <f>+'54'!I26+'53'!I26+'52'!I26+'51'!I26+'50'!I26</f>
        <v>1488</v>
      </c>
      <c r="J26" s="378">
        <f>+'54'!J26+'53'!J26+'52'!J26+'51'!J26+'50'!J26</f>
        <v>1574</v>
      </c>
      <c r="K26" s="377">
        <f>+'54'!K26+'53'!K26+'52'!K26+'51'!K26+'50'!K26</f>
        <v>1617</v>
      </c>
      <c r="L26" s="378">
        <f>+'54'!L26+'53'!L26+'52'!L26+'51'!L26+'50'!L26</f>
        <v>2339</v>
      </c>
      <c r="M26" s="378">
        <f>+'54'!M26+'53'!M26+'52'!M26+'51'!M26+'50'!M26</f>
        <v>2602</v>
      </c>
      <c r="N26" s="378">
        <f>+'54'!N26+'53'!N26+'52'!N26+'51'!N26+'50'!N26</f>
        <v>2535</v>
      </c>
      <c r="O26" s="377">
        <f>+'54'!O26+'53'!O26+'52'!O26+'51'!O26+'50'!O26</f>
        <v>1039</v>
      </c>
      <c r="P26" s="378">
        <f>+'54'!P26+'53'!P26+'52'!P26+'51'!P26+'50'!P26</f>
        <v>1118</v>
      </c>
      <c r="Q26" s="378">
        <f>+'54'!Q26+'53'!Q26+'52'!Q26+'51'!Q26+'50'!Q26</f>
        <v>1389</v>
      </c>
      <c r="R26" s="378">
        <f>+'54'!R26+'53'!R26+'52'!R26+'51'!R26+'50'!R26</f>
        <v>1992</v>
      </c>
      <c r="S26" s="377">
        <f>+'54'!S26+'53'!S26+'52'!S26+'51'!S26+'50'!S26</f>
        <v>244</v>
      </c>
      <c r="T26" s="378">
        <f>+'54'!T26+'53'!T26+'52'!T26+'51'!T26+'50'!T26</f>
        <v>436</v>
      </c>
      <c r="U26" s="378">
        <f>+'54'!U26+'53'!U26+'52'!U26+'51'!U26+'50'!U26</f>
        <v>463</v>
      </c>
      <c r="V26" s="378">
        <f>+'54'!V26+'53'!V26+'52'!V26+'51'!V26+'50'!V26</f>
        <v>554</v>
      </c>
      <c r="W26" s="377">
        <f>+'54'!W26+'53'!W26+'52'!W26+'51'!W26+'50'!W26</f>
        <v>551</v>
      </c>
      <c r="X26" s="378">
        <f>+'54'!X26+'53'!X26+'52'!X26+'51'!X26+'50'!X26</f>
        <v>245</v>
      </c>
      <c r="Y26" s="378">
        <f>+'54'!Y26+'53'!Y26+'52'!Y26+'51'!Y26+'50'!Y26</f>
        <v>354</v>
      </c>
      <c r="Z26" s="500">
        <f>+'54'!Z26+'53'!Z26+'52'!Z26+'51'!Z26+'50'!Z26</f>
        <v>0</v>
      </c>
      <c r="AA26" s="378">
        <f>+W26+S26+O26+K26+G26+C26</f>
        <v>12721</v>
      </c>
      <c r="AB26" s="378">
        <f>+X26+T26+P26+L26+H26+D26</f>
        <v>13249</v>
      </c>
      <c r="AC26" s="378">
        <f>+Y26+U26+Q26+M26+I26+E26</f>
        <v>14677</v>
      </c>
      <c r="AD26" s="500">
        <f>+Z26+V26+R26+N26+J26+F26</f>
        <v>16274</v>
      </c>
      <c r="AE26" s="532"/>
      <c r="AF26" s="532"/>
      <c r="AG26" s="532"/>
      <c r="AH26" s="532"/>
      <c r="AI26" s="532"/>
      <c r="AJ26" s="532"/>
      <c r="AK26" s="532"/>
      <c r="AL26" s="532"/>
      <c r="AM26" s="532"/>
      <c r="AN26" s="532"/>
      <c r="AO26" s="532"/>
      <c r="AP26" s="532"/>
      <c r="AQ26" s="532"/>
      <c r="AR26" s="525"/>
      <c r="AS26" s="525"/>
      <c r="AT26" s="525"/>
      <c r="AU26" s="525"/>
      <c r="AV26" s="525"/>
      <c r="AW26" s="525"/>
      <c r="AX26" s="525"/>
      <c r="AY26" s="525"/>
      <c r="AZ26" s="525"/>
      <c r="BA26" s="525"/>
      <c r="BB26" s="525"/>
      <c r="BC26" s="525"/>
      <c r="BD26" s="525"/>
      <c r="BE26" s="525"/>
      <c r="BF26" s="525"/>
      <c r="BG26" s="525"/>
      <c r="BH26" s="525"/>
      <c r="BI26" s="525"/>
      <c r="BJ26" s="525"/>
      <c r="BK26" s="525"/>
      <c r="BL26" s="525"/>
      <c r="BM26" s="525"/>
      <c r="BN26" s="525"/>
      <c r="BO26" s="525"/>
      <c r="BP26" s="525"/>
      <c r="BQ26" s="525"/>
      <c r="BR26" s="525"/>
      <c r="BS26" s="525"/>
      <c r="BT26" s="525"/>
      <c r="BU26" s="525"/>
    </row>
    <row r="27" spans="1:73" s="515" customFormat="1" ht="22.5" customHeight="1">
      <c r="A27" s="499"/>
      <c r="B27" s="499" t="s">
        <v>690</v>
      </c>
      <c r="C27" s="377">
        <f t="shared" ref="C27:AD27" si="18">SUM(C23:C26)</f>
        <v>81691</v>
      </c>
      <c r="D27" s="378">
        <f t="shared" si="18"/>
        <v>83855</v>
      </c>
      <c r="E27" s="378">
        <f t="shared" si="18"/>
        <v>84168</v>
      </c>
      <c r="F27" s="500">
        <f t="shared" si="18"/>
        <v>87382</v>
      </c>
      <c r="G27" s="377">
        <f t="shared" si="18"/>
        <v>14981</v>
      </c>
      <c r="H27" s="378">
        <f t="shared" si="18"/>
        <v>15742</v>
      </c>
      <c r="I27" s="378">
        <f t="shared" si="18"/>
        <v>14903</v>
      </c>
      <c r="J27" s="500">
        <f t="shared" ref="J27" si="19">SUM(J23:J26)</f>
        <v>15657</v>
      </c>
      <c r="K27" s="377">
        <f t="shared" si="18"/>
        <v>33303</v>
      </c>
      <c r="L27" s="378">
        <f t="shared" si="18"/>
        <v>33814</v>
      </c>
      <c r="M27" s="378">
        <f t="shared" si="18"/>
        <v>33745</v>
      </c>
      <c r="N27" s="378">
        <f>SUM(N23:N26)</f>
        <v>24178</v>
      </c>
      <c r="O27" s="377">
        <f t="shared" si="18"/>
        <v>15222</v>
      </c>
      <c r="P27" s="378">
        <f t="shared" si="18"/>
        <v>14628</v>
      </c>
      <c r="Q27" s="378">
        <f t="shared" si="18"/>
        <v>15606</v>
      </c>
      <c r="R27" s="378">
        <f>SUM(R23:R26)</f>
        <v>17816</v>
      </c>
      <c r="S27" s="377">
        <f t="shared" si="18"/>
        <v>3567</v>
      </c>
      <c r="T27" s="378">
        <f t="shared" si="18"/>
        <v>4419</v>
      </c>
      <c r="U27" s="378">
        <f t="shared" si="18"/>
        <v>4549</v>
      </c>
      <c r="V27" s="378">
        <f>SUM(V23:V26)</f>
        <v>5051</v>
      </c>
      <c r="W27" s="377">
        <f t="shared" si="18"/>
        <v>4783</v>
      </c>
      <c r="X27" s="378">
        <f t="shared" si="18"/>
        <v>3905</v>
      </c>
      <c r="Y27" s="378">
        <f t="shared" si="18"/>
        <v>4284</v>
      </c>
      <c r="Z27" s="500">
        <f>SUM(Z23:Z26)</f>
        <v>93</v>
      </c>
      <c r="AA27" s="378">
        <f t="shared" si="18"/>
        <v>153547</v>
      </c>
      <c r="AB27" s="378">
        <f t="shared" si="18"/>
        <v>156363</v>
      </c>
      <c r="AC27" s="378">
        <f t="shared" si="18"/>
        <v>157255</v>
      </c>
      <c r="AD27" s="500">
        <f t="shared" si="18"/>
        <v>150177</v>
      </c>
      <c r="AE27" s="532"/>
      <c r="AF27" s="532"/>
      <c r="AG27" s="532"/>
      <c r="AH27" s="532"/>
      <c r="AI27" s="532"/>
      <c r="AJ27" s="532"/>
      <c r="AK27" s="532"/>
      <c r="AL27" s="532"/>
      <c r="AM27" s="532"/>
      <c r="AN27" s="532"/>
      <c r="AO27" s="532"/>
      <c r="AP27" s="532"/>
      <c r="AQ27" s="532"/>
      <c r="AR27" s="525"/>
      <c r="AS27" s="525"/>
      <c r="AT27" s="525"/>
      <c r="AU27" s="525"/>
      <c r="AV27" s="525"/>
      <c r="AW27" s="525"/>
      <c r="AX27" s="525"/>
      <c r="AY27" s="525"/>
      <c r="AZ27" s="525"/>
      <c r="BA27" s="525"/>
      <c r="BB27" s="525"/>
      <c r="BC27" s="525"/>
      <c r="BD27" s="525"/>
      <c r="BE27" s="525"/>
      <c r="BF27" s="525"/>
      <c r="BG27" s="525"/>
      <c r="BH27" s="525"/>
      <c r="BI27" s="525"/>
      <c r="BJ27" s="525"/>
      <c r="BK27" s="525"/>
      <c r="BL27" s="525"/>
      <c r="BM27" s="525"/>
      <c r="BN27" s="525"/>
      <c r="BO27" s="525"/>
      <c r="BP27" s="525"/>
      <c r="BQ27" s="525"/>
      <c r="BR27" s="525"/>
      <c r="BS27" s="525"/>
      <c r="BT27" s="525"/>
      <c r="BU27" s="525"/>
    </row>
    <row r="28" spans="1:73" s="515" customFormat="1" ht="22.5" customHeight="1">
      <c r="A28" s="499" t="s">
        <v>581</v>
      </c>
      <c r="B28" s="350" t="s">
        <v>898</v>
      </c>
      <c r="C28" s="377">
        <f>+'54'!C28+'53'!C28+'52'!C28+'51'!C28+'50'!C28</f>
        <v>27090</v>
      </c>
      <c r="D28" s="378">
        <f>+'54'!D28+'53'!D28+'52'!D28+'51'!D28+'50'!D28</f>
        <v>23997</v>
      </c>
      <c r="E28" s="378">
        <f>+'54'!E28+'53'!E28+'52'!E28+'51'!E28+'50'!E28</f>
        <v>19901</v>
      </c>
      <c r="F28" s="378">
        <f>+'54'!F28+'53'!F28+'52'!F28+'51'!F28+'50'!F28</f>
        <v>21276</v>
      </c>
      <c r="G28" s="377">
        <f>+'54'!G28+'53'!G28+'52'!G28+'51'!G28+'50'!G28</f>
        <v>2375</v>
      </c>
      <c r="H28" s="378">
        <f>+'54'!H28+'53'!H28+'52'!H28+'51'!H28+'50'!H28</f>
        <v>2440</v>
      </c>
      <c r="I28" s="378">
        <f>+'54'!I28+'53'!I28+'52'!I28+'51'!I28+'50'!I28</f>
        <v>5188</v>
      </c>
      <c r="J28" s="378">
        <f>+'54'!J28+'53'!J28+'52'!J28+'51'!J28+'50'!J28</f>
        <v>4253</v>
      </c>
      <c r="K28" s="377">
        <f>+'54'!K28+'53'!K28+'52'!K28+'51'!K28+'50'!K28</f>
        <v>5344</v>
      </c>
      <c r="L28" s="378">
        <f>+'54'!L28+'53'!L28+'52'!L28+'51'!L28+'50'!L28</f>
        <v>4937</v>
      </c>
      <c r="M28" s="378">
        <f>+'54'!M28+'53'!M28+'52'!M28+'51'!M28+'50'!M28</f>
        <v>5007</v>
      </c>
      <c r="N28" s="378">
        <f>+'54'!N28+'53'!N28+'52'!N28+'51'!N28+'50'!N28</f>
        <v>5700</v>
      </c>
      <c r="O28" s="377">
        <f>+'54'!O28+'53'!O28+'52'!O28+'51'!O28+'50'!O28</f>
        <v>4231</v>
      </c>
      <c r="P28" s="378">
        <f>+'54'!P28+'53'!P28+'52'!P28+'51'!P28+'50'!P28</f>
        <v>3699</v>
      </c>
      <c r="Q28" s="378">
        <f>+'54'!Q28+'53'!Q28+'52'!Q28+'51'!Q28+'50'!Q28</f>
        <v>3927</v>
      </c>
      <c r="R28" s="378">
        <f>+'54'!R28+'53'!R28+'52'!R28+'51'!R28+'50'!R28</f>
        <v>4540</v>
      </c>
      <c r="S28" s="377">
        <f>+'54'!S28+'53'!S28+'52'!S28+'51'!S28+'50'!S28</f>
        <v>3530</v>
      </c>
      <c r="T28" s="378">
        <f>+'54'!T28+'53'!T28+'52'!T28+'51'!T28+'50'!T28</f>
        <v>1704</v>
      </c>
      <c r="U28" s="378">
        <f>+'54'!U28+'53'!U28+'52'!U28+'51'!U28+'50'!U28</f>
        <v>1374</v>
      </c>
      <c r="V28" s="378">
        <f>+'54'!V28+'53'!V28+'52'!V28+'51'!V28+'50'!V28</f>
        <v>1355</v>
      </c>
      <c r="W28" s="377">
        <f>+'54'!W28+'53'!W28+'52'!W28+'51'!W28+'50'!W28</f>
        <v>1589</v>
      </c>
      <c r="X28" s="378">
        <f>+'54'!X28+'53'!X28+'52'!X28+'51'!X28+'50'!X28</f>
        <v>773</v>
      </c>
      <c r="Y28" s="378">
        <f>+'54'!Y28+'53'!Y28+'52'!Y28+'51'!Y28+'50'!Y28</f>
        <v>1070</v>
      </c>
      <c r="Z28" s="500">
        <f>+'54'!Z28+'53'!Z28+'52'!Z28+'51'!Z28+'50'!Z28</f>
        <v>604</v>
      </c>
      <c r="AA28" s="378">
        <f t="shared" ref="AA28:AD31" si="20">+W28+S28+O28+K28+G28+C28</f>
        <v>44159</v>
      </c>
      <c r="AB28" s="378">
        <f t="shared" si="20"/>
        <v>37550</v>
      </c>
      <c r="AC28" s="378">
        <f t="shared" si="20"/>
        <v>36467</v>
      </c>
      <c r="AD28" s="500">
        <f t="shared" si="20"/>
        <v>37728</v>
      </c>
      <c r="AE28" s="532"/>
      <c r="AF28" s="532"/>
      <c r="AG28" s="532"/>
      <c r="AH28" s="532"/>
      <c r="AI28" s="532"/>
      <c r="AJ28" s="532"/>
      <c r="AK28" s="532"/>
      <c r="AL28" s="532"/>
      <c r="AM28" s="532"/>
      <c r="AN28" s="532"/>
      <c r="AO28" s="532"/>
      <c r="AP28" s="532"/>
      <c r="AQ28" s="532"/>
      <c r="AR28" s="525"/>
      <c r="AS28" s="525"/>
      <c r="AT28" s="525"/>
      <c r="AU28" s="525"/>
      <c r="AV28" s="525"/>
      <c r="AW28" s="525"/>
      <c r="AX28" s="525"/>
      <c r="AY28" s="525"/>
      <c r="AZ28" s="525"/>
      <c r="BA28" s="525"/>
      <c r="BB28" s="525"/>
      <c r="BC28" s="525"/>
      <c r="BD28" s="525"/>
      <c r="BE28" s="525"/>
      <c r="BF28" s="525"/>
      <c r="BG28" s="525"/>
      <c r="BH28" s="525"/>
      <c r="BI28" s="525"/>
      <c r="BJ28" s="525"/>
      <c r="BK28" s="525"/>
      <c r="BL28" s="525"/>
      <c r="BM28" s="525"/>
      <c r="BN28" s="525"/>
      <c r="BO28" s="525"/>
      <c r="BP28" s="525"/>
      <c r="BQ28" s="525"/>
      <c r="BR28" s="525"/>
      <c r="BS28" s="525"/>
      <c r="BT28" s="525"/>
      <c r="BU28" s="525"/>
    </row>
    <row r="29" spans="1:73" s="515" customFormat="1" ht="22.5" customHeight="1">
      <c r="A29" s="499"/>
      <c r="B29" s="303" t="s">
        <v>1351</v>
      </c>
      <c r="C29" s="377">
        <f>+'54'!C29+'53'!C29+'52'!C29+'51'!C29+'50'!C29</f>
        <v>0</v>
      </c>
      <c r="D29" s="378">
        <f>+'54'!D29+'53'!D29+'52'!D29+'51'!D29+'50'!D29</f>
        <v>3779</v>
      </c>
      <c r="E29" s="378">
        <f>+'54'!E29+'53'!E29+'52'!E29+'51'!E29+'50'!E29</f>
        <v>2339</v>
      </c>
      <c r="F29" s="378">
        <f>+'54'!F29+'53'!F29+'52'!F29+'51'!F29+'50'!F29</f>
        <v>2782</v>
      </c>
      <c r="G29" s="377">
        <f>+'54'!G29+'53'!G29+'52'!G29+'51'!G29+'50'!G29</f>
        <v>0</v>
      </c>
      <c r="H29" s="378">
        <f>+'54'!H29+'53'!H29+'52'!H29+'51'!H29+'50'!H29</f>
        <v>148</v>
      </c>
      <c r="I29" s="378">
        <f>+'54'!I29+'53'!I29+'52'!I29+'51'!I29+'50'!I29</f>
        <v>742</v>
      </c>
      <c r="J29" s="378">
        <f>+'54'!J29+'53'!J29+'52'!J29+'51'!J29+'50'!J29</f>
        <v>546</v>
      </c>
      <c r="K29" s="377">
        <f>+'54'!K29+'53'!K29+'52'!K29+'51'!K29+'50'!K29</f>
        <v>0</v>
      </c>
      <c r="L29" s="378">
        <f>+'54'!L29+'53'!L29+'52'!L29+'51'!L29+'50'!L29</f>
        <v>348</v>
      </c>
      <c r="M29" s="378">
        <f>+'54'!M29+'53'!M29+'52'!M29+'51'!M29+'50'!M29</f>
        <v>503</v>
      </c>
      <c r="N29" s="378">
        <f>+'54'!N29+'53'!N29+'52'!N29+'51'!N29+'50'!N29</f>
        <v>567</v>
      </c>
      <c r="O29" s="377">
        <f>+'54'!O29+'53'!O29+'52'!O29+'51'!O29+'50'!O29</f>
        <v>0</v>
      </c>
      <c r="P29" s="378">
        <f>+'54'!P29+'53'!P29+'52'!P29+'51'!P29+'50'!P29</f>
        <v>736</v>
      </c>
      <c r="Q29" s="378">
        <f>+'54'!Q29+'53'!Q29+'52'!Q29+'51'!Q29+'50'!Q29</f>
        <v>857</v>
      </c>
      <c r="R29" s="378">
        <f>+'54'!R29+'53'!R29+'52'!R29+'51'!R29+'50'!R29</f>
        <v>826</v>
      </c>
      <c r="S29" s="377">
        <f>+'54'!S29+'53'!S29+'52'!S29+'51'!S29+'50'!S29</f>
        <v>0</v>
      </c>
      <c r="T29" s="378">
        <f>+'54'!T29+'53'!T29+'52'!T29+'51'!T29+'50'!T29</f>
        <v>0</v>
      </c>
      <c r="U29" s="378">
        <f>+'54'!U29+'53'!U29+'52'!U29+'51'!U29+'50'!U29</f>
        <v>7</v>
      </c>
      <c r="V29" s="378">
        <f>+'54'!V29+'53'!V29+'52'!V29+'51'!V29+'50'!V29</f>
        <v>0</v>
      </c>
      <c r="W29" s="377">
        <f>+'54'!W29+'53'!W29+'52'!W29+'51'!W29+'50'!W29</f>
        <v>0</v>
      </c>
      <c r="X29" s="378">
        <f>+'54'!X29+'53'!X29+'52'!X29+'51'!X29+'50'!X29</f>
        <v>267</v>
      </c>
      <c r="Y29" s="378">
        <f>+'54'!Y29+'53'!Y29+'52'!Y29+'51'!Y29+'50'!Y29</f>
        <v>369</v>
      </c>
      <c r="Z29" s="500">
        <f>+'54'!Z29+'53'!Z29+'52'!Z29+'51'!Z29+'50'!Z29</f>
        <v>979</v>
      </c>
      <c r="AA29" s="378">
        <f t="shared" ref="AA29:AD30" si="21">+W29+S29+O29+K29+G29+C29</f>
        <v>0</v>
      </c>
      <c r="AB29" s="378">
        <f t="shared" si="21"/>
        <v>5278</v>
      </c>
      <c r="AC29" s="378">
        <f t="shared" si="21"/>
        <v>4817</v>
      </c>
      <c r="AD29" s="500">
        <f t="shared" si="21"/>
        <v>5700</v>
      </c>
      <c r="AE29" s="532"/>
      <c r="AF29" s="532"/>
      <c r="AG29" s="532"/>
      <c r="AH29" s="532"/>
      <c r="AI29" s="532"/>
      <c r="AJ29" s="532"/>
      <c r="AK29" s="532"/>
      <c r="AL29" s="532"/>
      <c r="AM29" s="532"/>
      <c r="AN29" s="532"/>
      <c r="AO29" s="532"/>
      <c r="AP29" s="532"/>
      <c r="AQ29" s="532"/>
      <c r="AR29" s="525"/>
      <c r="AS29" s="525"/>
      <c r="AT29" s="525"/>
      <c r="AU29" s="525"/>
      <c r="AV29" s="525"/>
      <c r="AW29" s="525"/>
      <c r="AX29" s="525"/>
      <c r="AY29" s="525"/>
      <c r="AZ29" s="525"/>
      <c r="BA29" s="525"/>
      <c r="BB29" s="525"/>
      <c r="BC29" s="525"/>
      <c r="BD29" s="525"/>
      <c r="BE29" s="525"/>
      <c r="BF29" s="525"/>
      <c r="BG29" s="525"/>
      <c r="BH29" s="525"/>
      <c r="BI29" s="525"/>
      <c r="BJ29" s="525"/>
      <c r="BK29" s="525"/>
      <c r="BL29" s="525"/>
      <c r="BM29" s="525"/>
      <c r="BN29" s="525"/>
      <c r="BO29" s="525"/>
      <c r="BP29" s="525"/>
      <c r="BQ29" s="525"/>
      <c r="BR29" s="525"/>
      <c r="BS29" s="525"/>
      <c r="BT29" s="525"/>
      <c r="BU29" s="525"/>
    </row>
    <row r="30" spans="1:73" s="515" customFormat="1" ht="22.5" customHeight="1">
      <c r="A30" s="499"/>
      <c r="B30" s="254" t="s">
        <v>1478</v>
      </c>
      <c r="C30" s="377"/>
      <c r="D30" s="378"/>
      <c r="E30" s="378">
        <f>+'54'!E30+'53'!E30+'52'!E30+'51'!E30+'50'!E30</f>
        <v>0</v>
      </c>
      <c r="F30" s="378">
        <f>+'54'!F30+'53'!F30+'52'!F30+'51'!F30+'50'!F30</f>
        <v>0</v>
      </c>
      <c r="G30" s="377"/>
      <c r="H30" s="378"/>
      <c r="I30" s="378">
        <f>+'54'!I30+'53'!I30+'52'!I30+'51'!I30+'50'!I30</f>
        <v>0</v>
      </c>
      <c r="J30" s="378">
        <f>+'54'!J30+'53'!J30+'52'!J30+'51'!J30+'50'!J30</f>
        <v>7</v>
      </c>
      <c r="K30" s="377"/>
      <c r="L30" s="378"/>
      <c r="M30" s="378">
        <f>+'54'!M30+'53'!M30+'52'!M30+'51'!M30+'50'!M30</f>
        <v>0</v>
      </c>
      <c r="N30" s="378">
        <f>+'54'!N30+'53'!N30+'52'!N30+'51'!N30+'50'!N30</f>
        <v>0</v>
      </c>
      <c r="O30" s="377"/>
      <c r="P30" s="378"/>
      <c r="Q30" s="378">
        <f>+'54'!Q30+'53'!Q30+'52'!Q30+'51'!Q30+'50'!Q30</f>
        <v>0</v>
      </c>
      <c r="R30" s="378">
        <f>+'54'!R30+'53'!R30+'52'!R30+'51'!R30+'50'!R30</f>
        <v>6</v>
      </c>
      <c r="S30" s="377"/>
      <c r="T30" s="378"/>
      <c r="U30" s="378">
        <f>+'54'!U30+'53'!U30+'52'!U30+'51'!U30+'50'!U30</f>
        <v>0</v>
      </c>
      <c r="V30" s="378">
        <f>+'54'!V30+'53'!V30+'52'!V30+'51'!V30+'50'!V30</f>
        <v>807</v>
      </c>
      <c r="W30" s="377"/>
      <c r="X30" s="378"/>
      <c r="Y30" s="378">
        <f>+'54'!Y30+'53'!Y30+'52'!Y30+'51'!Y30+'50'!Y30</f>
        <v>0</v>
      </c>
      <c r="Z30" s="500">
        <f>+'54'!Z30+'53'!Z30+'52'!Z30+'51'!Z30+'50'!Z30</f>
        <v>0</v>
      </c>
      <c r="AA30" s="378">
        <f t="shared" si="21"/>
        <v>0</v>
      </c>
      <c r="AB30" s="378">
        <f t="shared" si="21"/>
        <v>0</v>
      </c>
      <c r="AC30" s="378">
        <f t="shared" si="21"/>
        <v>0</v>
      </c>
      <c r="AD30" s="500">
        <f t="shared" si="21"/>
        <v>820</v>
      </c>
      <c r="AE30" s="532"/>
      <c r="AF30" s="532"/>
      <c r="AG30" s="532"/>
      <c r="AH30" s="532"/>
      <c r="AI30" s="532"/>
      <c r="AJ30" s="532"/>
      <c r="AK30" s="532"/>
      <c r="AL30" s="532"/>
      <c r="AM30" s="532"/>
      <c r="AN30" s="532"/>
      <c r="AO30" s="532"/>
      <c r="AP30" s="532"/>
      <c r="AQ30" s="532"/>
      <c r="AR30" s="525"/>
      <c r="AS30" s="525"/>
      <c r="AT30" s="525"/>
      <c r="AU30" s="525"/>
      <c r="AV30" s="525"/>
      <c r="AW30" s="525"/>
      <c r="AX30" s="525"/>
      <c r="AY30" s="525"/>
      <c r="AZ30" s="525"/>
      <c r="BA30" s="525"/>
      <c r="BB30" s="525"/>
      <c r="BC30" s="525"/>
      <c r="BD30" s="525"/>
      <c r="BE30" s="525"/>
      <c r="BF30" s="525"/>
      <c r="BG30" s="525"/>
      <c r="BH30" s="525"/>
      <c r="BI30" s="525"/>
      <c r="BJ30" s="525"/>
      <c r="BK30" s="525"/>
      <c r="BL30" s="525"/>
      <c r="BM30" s="525"/>
      <c r="BN30" s="525"/>
      <c r="BO30" s="525"/>
      <c r="BP30" s="525"/>
      <c r="BQ30" s="525"/>
      <c r="BR30" s="525"/>
      <c r="BS30" s="525"/>
      <c r="BT30" s="525"/>
      <c r="BU30" s="525"/>
    </row>
    <row r="31" spans="1:73" s="515" customFormat="1" ht="22.5" customHeight="1">
      <c r="A31" s="499"/>
      <c r="B31" s="499" t="s">
        <v>1026</v>
      </c>
      <c r="C31" s="377">
        <f>+'54'!C31+'53'!C31+'52'!C31+'51'!C31+'50'!C31</f>
        <v>178</v>
      </c>
      <c r="D31" s="378">
        <f>+'54'!D31+'53'!D31+'52'!D31+'51'!D31+'50'!D31</f>
        <v>285</v>
      </c>
      <c r="E31" s="378">
        <f>+'54'!E31+'53'!E31+'52'!E31+'51'!E31+'50'!E31</f>
        <v>396</v>
      </c>
      <c r="F31" s="378">
        <f>+'54'!F31+'53'!F31+'52'!F31+'51'!F31+'50'!F31</f>
        <v>351</v>
      </c>
      <c r="G31" s="377">
        <f>+'54'!G31+'53'!G31+'52'!G31+'51'!G31+'50'!G31</f>
        <v>0</v>
      </c>
      <c r="H31" s="378">
        <f>+'54'!H31+'53'!H31+'52'!H31+'51'!H31+'50'!H31</f>
        <v>0</v>
      </c>
      <c r="I31" s="378">
        <f>+'54'!I31+'53'!I31+'52'!I31+'51'!I31+'50'!I31</f>
        <v>0</v>
      </c>
      <c r="J31" s="378">
        <f>+'54'!J31+'53'!J31+'52'!J31+'51'!J31+'50'!J31</f>
        <v>0</v>
      </c>
      <c r="K31" s="377">
        <f>+'54'!K31+'53'!K31+'52'!K31+'51'!K31+'50'!K31</f>
        <v>0</v>
      </c>
      <c r="L31" s="378">
        <f>+'54'!L31+'53'!L31+'52'!L31+'51'!L31+'50'!L31</f>
        <v>0</v>
      </c>
      <c r="M31" s="378">
        <f>+'54'!M31+'53'!M31+'52'!M31+'51'!M31+'50'!M31</f>
        <v>0</v>
      </c>
      <c r="N31" s="378">
        <f>+'54'!N31+'53'!N31+'52'!N31+'51'!N31+'50'!N31</f>
        <v>0</v>
      </c>
      <c r="O31" s="377">
        <f>+'54'!O31+'53'!O31+'52'!O31+'51'!O31+'50'!O31</f>
        <v>25</v>
      </c>
      <c r="P31" s="378">
        <f>+'54'!P31+'53'!P31+'52'!P31+'51'!P31+'50'!P31</f>
        <v>0</v>
      </c>
      <c r="Q31" s="378">
        <f>+'54'!Q31+'53'!Q31+'52'!Q31+'51'!Q31+'50'!Q31</f>
        <v>0</v>
      </c>
      <c r="R31" s="378">
        <f>+'54'!R31+'53'!R31+'52'!R31+'51'!R31+'50'!R31</f>
        <v>0</v>
      </c>
      <c r="S31" s="377">
        <f>+'54'!S31+'53'!S31+'52'!S31+'51'!S31+'50'!S31</f>
        <v>0</v>
      </c>
      <c r="T31" s="378">
        <f>+'54'!T31+'53'!T31+'52'!T31+'51'!T31+'50'!T31</f>
        <v>0</v>
      </c>
      <c r="U31" s="378">
        <f>+'54'!U31+'53'!U31+'52'!U31+'51'!U31+'50'!U31</f>
        <v>0</v>
      </c>
      <c r="V31" s="378">
        <f>+'54'!V31+'53'!V31+'52'!V31+'51'!V31+'50'!V31</f>
        <v>0</v>
      </c>
      <c r="W31" s="377">
        <f>+'54'!W31+'53'!W31+'52'!W31+'51'!W31+'50'!W31</f>
        <v>0</v>
      </c>
      <c r="X31" s="378">
        <f>+'54'!X31+'53'!X31+'52'!X31+'51'!X31+'50'!X31</f>
        <v>0</v>
      </c>
      <c r="Y31" s="378">
        <f>+'54'!Y31+'53'!Y31+'52'!Y31+'51'!Y31+'50'!Y31</f>
        <v>0</v>
      </c>
      <c r="Z31" s="500">
        <f>+'54'!Z31+'53'!Z31+'52'!Z31+'51'!Z31+'50'!Z31</f>
        <v>0</v>
      </c>
      <c r="AA31" s="378">
        <f t="shared" si="20"/>
        <v>203</v>
      </c>
      <c r="AB31" s="378">
        <f t="shared" si="20"/>
        <v>285</v>
      </c>
      <c r="AC31" s="378">
        <f t="shared" si="20"/>
        <v>396</v>
      </c>
      <c r="AD31" s="500">
        <f t="shared" si="20"/>
        <v>351</v>
      </c>
      <c r="AE31" s="532"/>
      <c r="AF31" s="532"/>
      <c r="AG31" s="532"/>
      <c r="AH31" s="532"/>
      <c r="AI31" s="532"/>
      <c r="AJ31" s="532"/>
      <c r="AK31" s="532"/>
      <c r="AL31" s="532"/>
      <c r="AM31" s="532"/>
      <c r="AN31" s="532"/>
      <c r="AO31" s="532"/>
      <c r="AP31" s="532"/>
      <c r="AQ31" s="532"/>
      <c r="AR31" s="525"/>
      <c r="AS31" s="525"/>
      <c r="AT31" s="525"/>
      <c r="AU31" s="525"/>
      <c r="AV31" s="525"/>
      <c r="AW31" s="525"/>
      <c r="AX31" s="525"/>
      <c r="AY31" s="525"/>
      <c r="AZ31" s="525"/>
      <c r="BA31" s="525"/>
      <c r="BB31" s="525"/>
      <c r="BC31" s="525"/>
      <c r="BD31" s="525"/>
      <c r="BE31" s="525"/>
      <c r="BF31" s="525"/>
      <c r="BG31" s="525"/>
      <c r="BH31" s="525"/>
      <c r="BI31" s="525"/>
      <c r="BJ31" s="525"/>
      <c r="BK31" s="525"/>
      <c r="BL31" s="525"/>
      <c r="BM31" s="525"/>
      <c r="BN31" s="525"/>
      <c r="BO31" s="525"/>
      <c r="BP31" s="525"/>
      <c r="BQ31" s="525"/>
      <c r="BR31" s="525"/>
      <c r="BS31" s="525"/>
      <c r="BT31" s="525"/>
      <c r="BU31" s="525"/>
    </row>
    <row r="32" spans="1:73" s="515" customFormat="1" ht="22.5" customHeight="1">
      <c r="A32" s="499"/>
      <c r="B32" s="499" t="s">
        <v>690</v>
      </c>
      <c r="C32" s="377">
        <f t="shared" ref="C32:AD32" si="22">SUM(C28:C31)</f>
        <v>27268</v>
      </c>
      <c r="D32" s="378">
        <f t="shared" si="22"/>
        <v>28061</v>
      </c>
      <c r="E32" s="378">
        <f t="shared" si="22"/>
        <v>22636</v>
      </c>
      <c r="F32" s="500">
        <f t="shared" si="22"/>
        <v>24409</v>
      </c>
      <c r="G32" s="377">
        <f t="shared" si="22"/>
        <v>2375</v>
      </c>
      <c r="H32" s="378">
        <f t="shared" si="22"/>
        <v>2588</v>
      </c>
      <c r="I32" s="378">
        <f t="shared" si="22"/>
        <v>5930</v>
      </c>
      <c r="J32" s="500">
        <f t="shared" ref="J32" si="23">SUM(J28:J31)</f>
        <v>4806</v>
      </c>
      <c r="K32" s="377">
        <f t="shared" si="22"/>
        <v>5344</v>
      </c>
      <c r="L32" s="378">
        <f t="shared" si="22"/>
        <v>5285</v>
      </c>
      <c r="M32" s="378">
        <f t="shared" si="22"/>
        <v>5510</v>
      </c>
      <c r="N32" s="378">
        <f t="shared" si="22"/>
        <v>6267</v>
      </c>
      <c r="O32" s="377">
        <f t="shared" si="22"/>
        <v>4256</v>
      </c>
      <c r="P32" s="378">
        <f t="shared" si="22"/>
        <v>4435</v>
      </c>
      <c r="Q32" s="378">
        <f t="shared" si="22"/>
        <v>4784</v>
      </c>
      <c r="R32" s="378">
        <f t="shared" si="22"/>
        <v>5372</v>
      </c>
      <c r="S32" s="377">
        <f t="shared" si="22"/>
        <v>3530</v>
      </c>
      <c r="T32" s="378">
        <f t="shared" si="22"/>
        <v>1704</v>
      </c>
      <c r="U32" s="378">
        <f t="shared" si="22"/>
        <v>1381</v>
      </c>
      <c r="V32" s="378">
        <f t="shared" si="22"/>
        <v>2162</v>
      </c>
      <c r="W32" s="377">
        <f t="shared" si="22"/>
        <v>1589</v>
      </c>
      <c r="X32" s="378">
        <f t="shared" si="22"/>
        <v>1040</v>
      </c>
      <c r="Y32" s="378">
        <f t="shared" si="22"/>
        <v>1439</v>
      </c>
      <c r="Z32" s="500">
        <f t="shared" si="22"/>
        <v>1583</v>
      </c>
      <c r="AA32" s="378">
        <f t="shared" si="22"/>
        <v>44362</v>
      </c>
      <c r="AB32" s="378">
        <f t="shared" si="22"/>
        <v>43113</v>
      </c>
      <c r="AC32" s="378">
        <f t="shared" si="22"/>
        <v>41680</v>
      </c>
      <c r="AD32" s="500">
        <f t="shared" si="22"/>
        <v>44599</v>
      </c>
      <c r="AE32" s="532"/>
      <c r="AF32" s="532"/>
      <c r="AG32" s="532"/>
      <c r="AH32" s="532"/>
      <c r="AI32" s="532"/>
      <c r="AJ32" s="532"/>
      <c r="AK32" s="532"/>
      <c r="AL32" s="532"/>
      <c r="AM32" s="532"/>
      <c r="AN32" s="532"/>
      <c r="AO32" s="532"/>
      <c r="AP32" s="532"/>
      <c r="AQ32" s="532"/>
      <c r="AR32" s="525"/>
      <c r="AS32" s="525"/>
      <c r="AT32" s="525"/>
      <c r="AU32" s="525"/>
      <c r="AV32" s="525"/>
      <c r="AW32" s="525"/>
      <c r="AX32" s="525"/>
      <c r="AY32" s="525"/>
      <c r="AZ32" s="525"/>
      <c r="BA32" s="525"/>
      <c r="BB32" s="525"/>
      <c r="BC32" s="525"/>
      <c r="BD32" s="525"/>
      <c r="BE32" s="525"/>
      <c r="BF32" s="525"/>
      <c r="BG32" s="525"/>
      <c r="BH32" s="525"/>
      <c r="BI32" s="525"/>
      <c r="BJ32" s="525"/>
      <c r="BK32" s="525"/>
      <c r="BL32" s="525"/>
      <c r="BM32" s="525"/>
      <c r="BN32" s="525"/>
      <c r="BO32" s="525"/>
      <c r="BP32" s="525"/>
      <c r="BQ32" s="525"/>
      <c r="BR32" s="525"/>
      <c r="BS32" s="525"/>
      <c r="BT32" s="525"/>
      <c r="BU32" s="525"/>
    </row>
    <row r="33" spans="1:73" s="515" customFormat="1" ht="22.5" customHeight="1">
      <c r="A33" s="499" t="s">
        <v>582</v>
      </c>
      <c r="B33" s="303" t="s">
        <v>698</v>
      </c>
      <c r="C33" s="377">
        <f>+'54'!C33+'53'!C33+'52'!C33+'51'!C33+'50'!C33</f>
        <v>16027</v>
      </c>
      <c r="D33" s="378">
        <f>+'54'!D33+'53'!D33+'52'!D33+'51'!D33+'50'!D33</f>
        <v>15011</v>
      </c>
      <c r="E33" s="378">
        <f>+'54'!E33+'53'!E33+'52'!E33+'51'!E33+'50'!E33</f>
        <v>13675</v>
      </c>
      <c r="F33" s="378">
        <f>+'54'!F33+'53'!F33+'52'!F33+'51'!F33+'50'!F33</f>
        <v>17070</v>
      </c>
      <c r="G33" s="377">
        <f>+'54'!G33+'53'!G33+'52'!G33+'51'!G33+'50'!G33</f>
        <v>2692</v>
      </c>
      <c r="H33" s="378">
        <f>+'54'!H33+'53'!H33+'52'!H33+'51'!H33+'50'!H33</f>
        <v>2513</v>
      </c>
      <c r="I33" s="378">
        <f>+'54'!I33+'53'!I33+'52'!I33+'51'!I33+'50'!I33</f>
        <v>3603</v>
      </c>
      <c r="J33" s="378">
        <f>+'54'!J33+'53'!J33+'52'!J33+'51'!J33+'50'!J33</f>
        <v>3524</v>
      </c>
      <c r="K33" s="377">
        <f>+'54'!K33+'53'!K33+'52'!K33+'51'!K33+'50'!K33</f>
        <v>5797</v>
      </c>
      <c r="L33" s="378">
        <f>+'54'!L33+'53'!L33+'52'!L33+'51'!L33+'50'!L33</f>
        <v>5169</v>
      </c>
      <c r="M33" s="378">
        <f>+'54'!M33+'53'!M33+'52'!M33+'51'!M33+'50'!M33</f>
        <v>5235</v>
      </c>
      <c r="N33" s="378">
        <f>+'54'!N33+'53'!N33+'52'!N33+'51'!N33+'50'!N33</f>
        <v>5490</v>
      </c>
      <c r="O33" s="377">
        <f>+'54'!O33+'53'!O33+'52'!O33+'51'!O33+'50'!O33</f>
        <v>2763</v>
      </c>
      <c r="P33" s="378">
        <f>+'54'!P33+'53'!P33+'52'!P33+'51'!P33+'50'!P33</f>
        <v>2686</v>
      </c>
      <c r="Q33" s="378">
        <f>+'54'!Q33+'53'!Q33+'52'!Q33+'51'!Q33+'50'!Q33</f>
        <v>2563</v>
      </c>
      <c r="R33" s="378">
        <f>+'54'!R33+'53'!R33+'52'!R33+'51'!R33+'50'!R33</f>
        <v>2794</v>
      </c>
      <c r="S33" s="377">
        <f>+'54'!S33+'53'!S33+'52'!S33+'51'!S33+'50'!S33</f>
        <v>528</v>
      </c>
      <c r="T33" s="378">
        <f>+'54'!T33+'53'!T33+'52'!T33+'51'!T33+'50'!T33</f>
        <v>505</v>
      </c>
      <c r="U33" s="378">
        <f>+'54'!U33+'53'!U33+'52'!U33+'51'!U33+'50'!U33</f>
        <v>569</v>
      </c>
      <c r="V33" s="378">
        <f>+'54'!V33+'53'!V33+'52'!V33+'51'!V33+'50'!V33</f>
        <v>533</v>
      </c>
      <c r="W33" s="377">
        <f>+'54'!W33+'53'!W33+'52'!W33+'51'!W33+'50'!W33</f>
        <v>908</v>
      </c>
      <c r="X33" s="378">
        <f>+'54'!X33+'53'!X33+'52'!X33+'51'!X33+'50'!X33</f>
        <v>956</v>
      </c>
      <c r="Y33" s="378">
        <f>+'54'!Y33+'53'!Y33+'52'!Y33+'51'!Y33+'50'!Y33</f>
        <v>1207</v>
      </c>
      <c r="Z33" s="500">
        <f>+'54'!Z33+'53'!Z33+'52'!Z33+'51'!Z33+'50'!Z33</f>
        <v>294</v>
      </c>
      <c r="AA33" s="378">
        <f t="shared" ref="AA33:AD39" si="24">+W33+S33+O33+K33+G33+C33</f>
        <v>28715</v>
      </c>
      <c r="AB33" s="378">
        <f t="shared" si="24"/>
        <v>26840</v>
      </c>
      <c r="AC33" s="378">
        <f t="shared" si="24"/>
        <v>26852</v>
      </c>
      <c r="AD33" s="500">
        <f t="shared" si="24"/>
        <v>29705</v>
      </c>
      <c r="AE33" s="532"/>
      <c r="AF33" s="532"/>
      <c r="AG33" s="532"/>
      <c r="AH33" s="532"/>
      <c r="AI33" s="532"/>
      <c r="AJ33" s="532"/>
      <c r="AK33" s="532"/>
      <c r="AL33" s="532"/>
      <c r="AM33" s="532"/>
      <c r="AN33" s="532"/>
      <c r="AO33" s="532"/>
      <c r="AP33" s="532"/>
      <c r="AQ33" s="532"/>
      <c r="AR33" s="525"/>
      <c r="AS33" s="525"/>
      <c r="AT33" s="525"/>
      <c r="AU33" s="525"/>
      <c r="AV33" s="525"/>
      <c r="AW33" s="525"/>
      <c r="AX33" s="525"/>
      <c r="AY33" s="525"/>
      <c r="AZ33" s="525"/>
      <c r="BA33" s="525"/>
      <c r="BB33" s="525"/>
      <c r="BC33" s="525"/>
      <c r="BD33" s="525"/>
      <c r="BE33" s="525"/>
      <c r="BF33" s="525"/>
      <c r="BG33" s="525"/>
      <c r="BH33" s="525"/>
      <c r="BI33" s="525"/>
      <c r="BJ33" s="525"/>
      <c r="BK33" s="525"/>
      <c r="BL33" s="525"/>
      <c r="BM33" s="525"/>
      <c r="BN33" s="525"/>
      <c r="BO33" s="525"/>
      <c r="BP33" s="525"/>
      <c r="BQ33" s="525"/>
      <c r="BR33" s="525"/>
      <c r="BS33" s="525"/>
      <c r="BT33" s="525"/>
      <c r="BU33" s="525"/>
    </row>
    <row r="34" spans="1:73" s="515" customFormat="1" ht="22.5" customHeight="1">
      <c r="A34" s="499"/>
      <c r="B34" s="350" t="s">
        <v>900</v>
      </c>
      <c r="C34" s="377">
        <f>+'54'!C34+'53'!C34+'52'!C34+'51'!C34+'50'!C34</f>
        <v>2634</v>
      </c>
      <c r="D34" s="378">
        <f>+'54'!D34+'53'!D34+'52'!D34+'51'!D34+'50'!D34</f>
        <v>2807</v>
      </c>
      <c r="E34" s="378">
        <f>+'54'!E34+'53'!E34+'52'!E34+'51'!E34+'50'!E34</f>
        <v>2621</v>
      </c>
      <c r="F34" s="378">
        <f>+'54'!F34+'53'!F34+'52'!F34+'51'!F34+'50'!F34</f>
        <v>2765</v>
      </c>
      <c r="G34" s="377">
        <f>+'54'!G34+'53'!G34+'52'!G34+'51'!G34+'50'!G34</f>
        <v>493</v>
      </c>
      <c r="H34" s="378">
        <f>+'54'!H34+'53'!H34+'52'!H34+'51'!H34+'50'!H34</f>
        <v>510</v>
      </c>
      <c r="I34" s="378">
        <f>+'54'!I34+'53'!I34+'52'!I34+'51'!I34+'50'!I34</f>
        <v>502</v>
      </c>
      <c r="J34" s="378">
        <f>+'54'!J34+'53'!J34+'52'!J34+'51'!J34+'50'!J34</f>
        <v>690</v>
      </c>
      <c r="K34" s="377">
        <f>+'54'!K34+'53'!K34+'52'!K34+'51'!K34+'50'!K34</f>
        <v>1015</v>
      </c>
      <c r="L34" s="378">
        <f>+'54'!L34+'53'!L34+'52'!L34+'51'!L34+'50'!L34</f>
        <v>1072</v>
      </c>
      <c r="M34" s="378">
        <f>+'54'!M34+'53'!M34+'52'!M34+'51'!M34+'50'!M34</f>
        <v>979</v>
      </c>
      <c r="N34" s="378">
        <f>+'54'!N34+'53'!N34+'52'!N34+'51'!N34+'50'!N34</f>
        <v>1022</v>
      </c>
      <c r="O34" s="377">
        <f>+'54'!O34+'53'!O34+'52'!O34+'51'!O34+'50'!O34</f>
        <v>422</v>
      </c>
      <c r="P34" s="378">
        <f>+'54'!P34+'53'!P34+'52'!P34+'51'!P34+'50'!P34</f>
        <v>392</v>
      </c>
      <c r="Q34" s="378">
        <f>+'54'!Q34+'53'!Q34+'52'!Q34+'51'!Q34+'50'!Q34</f>
        <v>433</v>
      </c>
      <c r="R34" s="378">
        <f>+'54'!R34+'53'!R34+'52'!R34+'51'!R34+'50'!R34</f>
        <v>448</v>
      </c>
      <c r="S34" s="377">
        <f>+'54'!S34+'53'!S34+'52'!S34+'51'!S34+'50'!S34</f>
        <v>170</v>
      </c>
      <c r="T34" s="378">
        <f>+'54'!T34+'53'!T34+'52'!T34+'51'!T34+'50'!T34</f>
        <v>109</v>
      </c>
      <c r="U34" s="378">
        <f>+'54'!U34+'53'!U34+'52'!U34+'51'!U34+'50'!U34</f>
        <v>131</v>
      </c>
      <c r="V34" s="378">
        <f>+'54'!V34+'53'!V34+'52'!V34+'51'!V34+'50'!V34</f>
        <v>176</v>
      </c>
      <c r="W34" s="377">
        <f>+'54'!W34+'53'!W34+'52'!W34+'51'!W34+'50'!W34</f>
        <v>209</v>
      </c>
      <c r="X34" s="378">
        <f>+'54'!X34+'53'!X34+'52'!X34+'51'!X34+'50'!X34</f>
        <v>144</v>
      </c>
      <c r="Y34" s="378">
        <f>+'54'!Y34+'53'!Y34+'52'!Y34+'51'!Y34+'50'!Y34</f>
        <v>245</v>
      </c>
      <c r="Z34" s="500">
        <f>+'54'!Z34+'53'!Z34+'52'!Z34+'51'!Z34+'50'!Z34</f>
        <v>55</v>
      </c>
      <c r="AA34" s="378">
        <f t="shared" ref="AA34:AD35" si="25">+W34+S34+O34+K34+G34+C34</f>
        <v>4943</v>
      </c>
      <c r="AB34" s="378">
        <f t="shared" si="25"/>
        <v>5034</v>
      </c>
      <c r="AC34" s="378">
        <f t="shared" si="25"/>
        <v>4911</v>
      </c>
      <c r="AD34" s="500">
        <f t="shared" si="25"/>
        <v>5156</v>
      </c>
      <c r="AE34" s="532"/>
      <c r="AF34" s="532"/>
      <c r="AG34" s="532"/>
      <c r="AH34" s="532"/>
      <c r="AI34" s="532"/>
      <c r="AJ34" s="532"/>
      <c r="AK34" s="532"/>
      <c r="AL34" s="532"/>
      <c r="AM34" s="532"/>
      <c r="AN34" s="532"/>
      <c r="AO34" s="532"/>
      <c r="AP34" s="532"/>
      <c r="AQ34" s="532"/>
      <c r="AR34" s="525"/>
      <c r="AS34" s="525"/>
      <c r="AT34" s="525"/>
      <c r="AU34" s="525"/>
      <c r="AV34" s="525"/>
      <c r="AW34" s="525"/>
      <c r="AX34" s="525"/>
      <c r="AY34" s="525"/>
      <c r="AZ34" s="525"/>
      <c r="BA34" s="525"/>
      <c r="BB34" s="525"/>
      <c r="BC34" s="525"/>
      <c r="BD34" s="525"/>
      <c r="BE34" s="525"/>
      <c r="BF34" s="525"/>
      <c r="BG34" s="525"/>
      <c r="BH34" s="525"/>
      <c r="BI34" s="525"/>
      <c r="BJ34" s="525"/>
      <c r="BK34" s="525"/>
      <c r="BL34" s="525"/>
      <c r="BM34" s="525"/>
      <c r="BN34" s="525"/>
      <c r="BO34" s="525"/>
      <c r="BP34" s="525"/>
      <c r="BQ34" s="525"/>
      <c r="BR34" s="525"/>
      <c r="BS34" s="525"/>
      <c r="BT34" s="525"/>
      <c r="BU34" s="525"/>
    </row>
    <row r="35" spans="1:73" s="515" customFormat="1" ht="22.5" customHeight="1">
      <c r="A35" s="499"/>
      <c r="B35" s="303" t="s">
        <v>1352</v>
      </c>
      <c r="C35" s="377">
        <f>+'54'!C35+'53'!C35+'52'!C35+'51'!C35+'50'!C35</f>
        <v>0</v>
      </c>
      <c r="D35" s="378">
        <f>+'54'!D35+'53'!D35+'52'!D35+'51'!D35+'50'!D35</f>
        <v>768</v>
      </c>
      <c r="E35" s="378">
        <f>+'54'!E35+'53'!E35+'52'!E35+'51'!E35+'50'!E35</f>
        <v>732</v>
      </c>
      <c r="F35" s="378">
        <f>+'54'!F35+'53'!F35+'52'!F35+'51'!F35+'50'!F35</f>
        <v>584</v>
      </c>
      <c r="G35" s="377">
        <f>+'54'!G35+'53'!G35+'52'!G35+'51'!G35+'50'!G35</f>
        <v>0</v>
      </c>
      <c r="H35" s="378">
        <f>+'54'!H35+'53'!H35+'52'!H35+'51'!H35+'50'!H35</f>
        <v>285</v>
      </c>
      <c r="I35" s="378">
        <f>+'54'!I35+'53'!I35+'52'!I35+'51'!I35+'50'!I35</f>
        <v>281</v>
      </c>
      <c r="J35" s="378">
        <f>+'54'!J35+'53'!J35+'52'!J35+'51'!J35+'50'!J35</f>
        <v>350</v>
      </c>
      <c r="K35" s="377">
        <f>+'54'!K35+'53'!K35+'52'!K35+'51'!K35+'50'!K35</f>
        <v>0</v>
      </c>
      <c r="L35" s="378">
        <f>+'54'!L35+'53'!L35+'52'!L35+'51'!L35+'50'!L35</f>
        <v>555</v>
      </c>
      <c r="M35" s="378">
        <f>+'54'!M35+'53'!M35+'52'!M35+'51'!M35+'50'!M35</f>
        <v>563</v>
      </c>
      <c r="N35" s="378">
        <f>+'54'!N35+'53'!N35+'52'!N35+'51'!N35+'50'!N35</f>
        <v>503</v>
      </c>
      <c r="O35" s="377">
        <f>+'54'!O35+'53'!O35+'52'!O35+'51'!O35+'50'!O35</f>
        <v>0</v>
      </c>
      <c r="P35" s="378">
        <f>+'54'!P35+'53'!P35+'52'!P35+'51'!P35+'50'!P35</f>
        <v>232</v>
      </c>
      <c r="Q35" s="378">
        <f>+'54'!Q35+'53'!Q35+'52'!Q35+'51'!Q35+'50'!Q35</f>
        <v>215</v>
      </c>
      <c r="R35" s="378">
        <f>+'54'!R35+'53'!R35+'52'!R35+'51'!R35+'50'!R35</f>
        <v>226</v>
      </c>
      <c r="S35" s="377">
        <f>+'54'!S35+'53'!S35+'52'!S35+'51'!S35+'50'!S35</f>
        <v>0</v>
      </c>
      <c r="T35" s="378">
        <f>+'54'!T35+'53'!T35+'52'!T35+'51'!T35+'50'!T35</f>
        <v>46</v>
      </c>
      <c r="U35" s="378">
        <f>+'54'!U35+'53'!U35+'52'!U35+'51'!U35+'50'!U35</f>
        <v>87</v>
      </c>
      <c r="V35" s="378">
        <f>+'54'!V35+'53'!V35+'52'!V35+'51'!V35+'50'!V35</f>
        <v>45</v>
      </c>
      <c r="W35" s="377">
        <f>+'54'!W35+'53'!W35+'52'!W35+'51'!W35+'50'!W35</f>
        <v>0</v>
      </c>
      <c r="X35" s="378">
        <f>+'54'!X35+'53'!X35+'52'!X35+'51'!X35+'50'!X35</f>
        <v>89</v>
      </c>
      <c r="Y35" s="378">
        <f>+'54'!Y35+'53'!Y35+'52'!Y35+'51'!Y35+'50'!Y35</f>
        <v>127</v>
      </c>
      <c r="Z35" s="500">
        <f>+'54'!Z35+'53'!Z35+'52'!Z35+'51'!Z35+'50'!Z35</f>
        <v>43</v>
      </c>
      <c r="AA35" s="378">
        <f t="shared" si="25"/>
        <v>0</v>
      </c>
      <c r="AB35" s="378">
        <f t="shared" si="25"/>
        <v>1975</v>
      </c>
      <c r="AC35" s="378">
        <f t="shared" si="25"/>
        <v>2005</v>
      </c>
      <c r="AD35" s="500">
        <f t="shared" si="25"/>
        <v>1751</v>
      </c>
      <c r="AE35" s="532"/>
      <c r="AF35" s="532"/>
      <c r="AG35" s="532"/>
      <c r="AH35" s="532"/>
      <c r="AI35" s="532"/>
      <c r="AJ35" s="532"/>
      <c r="AK35" s="532"/>
      <c r="AL35" s="532"/>
      <c r="AM35" s="532"/>
      <c r="AN35" s="532"/>
      <c r="AO35" s="532"/>
      <c r="AP35" s="532"/>
      <c r="AQ35" s="532"/>
      <c r="AR35" s="525"/>
      <c r="AS35" s="525"/>
      <c r="AT35" s="525"/>
      <c r="AU35" s="525"/>
      <c r="AV35" s="525"/>
      <c r="AW35" s="525"/>
      <c r="AX35" s="525"/>
      <c r="AY35" s="525"/>
      <c r="AZ35" s="525"/>
      <c r="BA35" s="525"/>
      <c r="BB35" s="525"/>
      <c r="BC35" s="525"/>
      <c r="BD35" s="525"/>
      <c r="BE35" s="525"/>
      <c r="BF35" s="525"/>
      <c r="BG35" s="525"/>
      <c r="BH35" s="525"/>
      <c r="BI35" s="525"/>
      <c r="BJ35" s="525"/>
      <c r="BK35" s="525"/>
      <c r="BL35" s="525"/>
      <c r="BM35" s="525"/>
      <c r="BN35" s="525"/>
      <c r="BO35" s="525"/>
      <c r="BP35" s="525"/>
      <c r="BQ35" s="525"/>
      <c r="BR35" s="525"/>
      <c r="BS35" s="525"/>
      <c r="BT35" s="525"/>
      <c r="BU35" s="525"/>
    </row>
    <row r="36" spans="1:73" s="515" customFormat="1" ht="22.5" customHeight="1">
      <c r="A36" s="499"/>
      <c r="B36" s="499" t="s">
        <v>690</v>
      </c>
      <c r="C36" s="377">
        <f>SUM(C33:C35)</f>
        <v>18661</v>
      </c>
      <c r="D36" s="378">
        <f t="shared" ref="D36:N36" si="26">SUM(D33:D35)</f>
        <v>18586</v>
      </c>
      <c r="E36" s="378">
        <f t="shared" si="26"/>
        <v>17028</v>
      </c>
      <c r="F36" s="378">
        <f t="shared" si="26"/>
        <v>20419</v>
      </c>
      <c r="G36" s="377">
        <f t="shared" si="26"/>
        <v>3185</v>
      </c>
      <c r="H36" s="378">
        <f t="shared" si="26"/>
        <v>3308</v>
      </c>
      <c r="I36" s="378">
        <f t="shared" si="26"/>
        <v>4386</v>
      </c>
      <c r="J36" s="378">
        <f t="shared" ref="J36" si="27">SUM(J33:J35)</f>
        <v>4564</v>
      </c>
      <c r="K36" s="377">
        <f t="shared" si="26"/>
        <v>6812</v>
      </c>
      <c r="L36" s="378">
        <f t="shared" si="26"/>
        <v>6796</v>
      </c>
      <c r="M36" s="378">
        <f t="shared" si="26"/>
        <v>6777</v>
      </c>
      <c r="N36" s="378">
        <f t="shared" si="26"/>
        <v>7015</v>
      </c>
      <c r="O36" s="377">
        <f t="shared" ref="O36:AD36" si="28">SUM(O33:O35)</f>
        <v>3185</v>
      </c>
      <c r="P36" s="378">
        <f t="shared" si="28"/>
        <v>3310</v>
      </c>
      <c r="Q36" s="378">
        <f t="shared" si="28"/>
        <v>3211</v>
      </c>
      <c r="R36" s="378">
        <f t="shared" si="28"/>
        <v>3468</v>
      </c>
      <c r="S36" s="377">
        <f t="shared" si="28"/>
        <v>698</v>
      </c>
      <c r="T36" s="378">
        <f t="shared" si="28"/>
        <v>660</v>
      </c>
      <c r="U36" s="378">
        <f t="shared" si="28"/>
        <v>787</v>
      </c>
      <c r="V36" s="378">
        <f t="shared" si="28"/>
        <v>754</v>
      </c>
      <c r="W36" s="377">
        <f t="shared" si="28"/>
        <v>1117</v>
      </c>
      <c r="X36" s="378">
        <f t="shared" si="28"/>
        <v>1189</v>
      </c>
      <c r="Y36" s="378">
        <f t="shared" si="28"/>
        <v>1579</v>
      </c>
      <c r="Z36" s="378">
        <f t="shared" si="28"/>
        <v>392</v>
      </c>
      <c r="AA36" s="377">
        <f t="shared" si="28"/>
        <v>33658</v>
      </c>
      <c r="AB36" s="378">
        <f t="shared" si="28"/>
        <v>33849</v>
      </c>
      <c r="AC36" s="378">
        <f t="shared" si="28"/>
        <v>33768</v>
      </c>
      <c r="AD36" s="500">
        <f t="shared" si="28"/>
        <v>36612</v>
      </c>
      <c r="AE36" s="532"/>
      <c r="AF36" s="532"/>
      <c r="AG36" s="532"/>
      <c r="AH36" s="532"/>
      <c r="AI36" s="532"/>
      <c r="AJ36" s="532"/>
      <c r="AK36" s="532"/>
      <c r="AL36" s="532"/>
      <c r="AM36" s="532"/>
      <c r="AN36" s="532"/>
      <c r="AO36" s="532"/>
      <c r="AP36" s="532"/>
      <c r="AQ36" s="532"/>
      <c r="AR36" s="525"/>
      <c r="AS36" s="525"/>
      <c r="AT36" s="525"/>
      <c r="AU36" s="525"/>
      <c r="AV36" s="525"/>
      <c r="AW36" s="525"/>
      <c r="AX36" s="525"/>
      <c r="AY36" s="525"/>
      <c r="AZ36" s="525"/>
      <c r="BA36" s="525"/>
      <c r="BB36" s="525"/>
      <c r="BC36" s="525"/>
      <c r="BD36" s="525"/>
      <c r="BE36" s="525"/>
      <c r="BF36" s="525"/>
      <c r="BG36" s="525"/>
      <c r="BH36" s="525"/>
      <c r="BI36" s="525"/>
      <c r="BJ36" s="525"/>
      <c r="BK36" s="525"/>
      <c r="BL36" s="525"/>
      <c r="BM36" s="525"/>
      <c r="BN36" s="525"/>
      <c r="BO36" s="525"/>
      <c r="BP36" s="525"/>
      <c r="BQ36" s="525"/>
      <c r="BR36" s="525"/>
      <c r="BS36" s="525"/>
      <c r="BT36" s="525"/>
      <c r="BU36" s="525"/>
    </row>
    <row r="37" spans="1:73" s="515" customFormat="1" ht="22.5" customHeight="1">
      <c r="A37" s="499" t="s">
        <v>583</v>
      </c>
      <c r="B37" s="350" t="s">
        <v>901</v>
      </c>
      <c r="C37" s="377">
        <f>+'54'!C37+'53'!C37+'52'!C37+'51'!C37+'50'!C37</f>
        <v>14214</v>
      </c>
      <c r="D37" s="378">
        <f>+'54'!D37+'53'!D37+'52'!D37+'51'!D37+'50'!D37</f>
        <v>13284</v>
      </c>
      <c r="E37" s="378">
        <f>+'54'!E37+'53'!E37+'52'!E37+'51'!E37+'50'!E37</f>
        <v>13862</v>
      </c>
      <c r="F37" s="378">
        <f>+'54'!F37+'53'!F37+'52'!F37+'51'!F37+'50'!F37</f>
        <v>16310</v>
      </c>
      <c r="G37" s="377">
        <f>+'54'!G37+'53'!G37+'52'!G37+'51'!G37+'50'!G37</f>
        <v>1609</v>
      </c>
      <c r="H37" s="378">
        <f>+'54'!H37+'53'!H37+'52'!H37+'51'!H37+'50'!H37</f>
        <v>1999</v>
      </c>
      <c r="I37" s="378">
        <f>+'54'!I37+'53'!I37+'52'!I37+'51'!I37+'50'!I37</f>
        <v>1591</v>
      </c>
      <c r="J37" s="378">
        <f>+'54'!J37+'53'!J37+'52'!J37+'51'!J37+'50'!J37</f>
        <v>1323</v>
      </c>
      <c r="K37" s="377">
        <f>+'54'!K37+'53'!K37+'52'!K37+'51'!K37+'50'!K37</f>
        <v>3619</v>
      </c>
      <c r="L37" s="378">
        <f>+'54'!L37+'53'!L37+'52'!L37+'51'!L37+'50'!L37</f>
        <v>3845</v>
      </c>
      <c r="M37" s="378">
        <f>+'54'!M37+'53'!M37+'52'!M37+'51'!M37+'50'!M37</f>
        <v>3623</v>
      </c>
      <c r="N37" s="378">
        <f>+'54'!N37+'53'!N37+'52'!N37+'51'!N37+'50'!N37</f>
        <v>3385</v>
      </c>
      <c r="O37" s="377">
        <f>+'54'!O37+'53'!O37+'52'!O37+'51'!O37+'50'!O37</f>
        <v>2752</v>
      </c>
      <c r="P37" s="378">
        <f>+'54'!P37+'53'!P37+'52'!P37+'51'!P37+'50'!P37</f>
        <v>3746</v>
      </c>
      <c r="Q37" s="378">
        <f>+'54'!Q37+'53'!Q37+'52'!Q37+'51'!Q37+'50'!Q37</f>
        <v>3402</v>
      </c>
      <c r="R37" s="378">
        <f>+'54'!R37+'53'!R37+'52'!R37+'51'!R37+'50'!R37</f>
        <v>3149</v>
      </c>
      <c r="S37" s="377">
        <f>+'54'!S37+'53'!S37+'52'!S37+'51'!S37+'50'!S37</f>
        <v>1357</v>
      </c>
      <c r="T37" s="378">
        <f>+'54'!T37+'53'!T37+'52'!T37+'51'!T37+'50'!T37</f>
        <v>1149</v>
      </c>
      <c r="U37" s="378">
        <f>+'54'!U37+'53'!U37+'52'!U37+'51'!U37+'50'!U37</f>
        <v>661</v>
      </c>
      <c r="V37" s="378">
        <f>+'54'!V37+'53'!V37+'52'!V37+'51'!V37+'50'!V37</f>
        <v>277</v>
      </c>
      <c r="W37" s="377">
        <f>+'54'!W37+'53'!W37+'52'!W37+'51'!W37+'50'!W37</f>
        <v>417</v>
      </c>
      <c r="X37" s="378">
        <f>+'54'!X37+'53'!X37+'52'!X37+'51'!X37+'50'!X37</f>
        <v>365</v>
      </c>
      <c r="Y37" s="378">
        <f>+'54'!Y37+'53'!Y37+'52'!Y37+'51'!Y37+'50'!Y37</f>
        <v>502</v>
      </c>
      <c r="Z37" s="500">
        <f>+'54'!Z37+'53'!Z37+'52'!Z37+'51'!Z37+'50'!Z37</f>
        <v>5</v>
      </c>
      <c r="AA37" s="378">
        <f t="shared" si="24"/>
        <v>23968</v>
      </c>
      <c r="AB37" s="378">
        <f t="shared" si="24"/>
        <v>24388</v>
      </c>
      <c r="AC37" s="378">
        <f t="shared" si="24"/>
        <v>23641</v>
      </c>
      <c r="AD37" s="500">
        <f t="shared" si="24"/>
        <v>24449</v>
      </c>
      <c r="AE37" s="532"/>
      <c r="AF37" s="532"/>
      <c r="AG37" s="532"/>
      <c r="AH37" s="532"/>
      <c r="AI37" s="532"/>
      <c r="AJ37" s="532"/>
      <c r="AK37" s="532"/>
      <c r="AL37" s="532"/>
      <c r="AM37" s="532"/>
      <c r="AN37" s="532"/>
      <c r="AO37" s="532"/>
      <c r="AP37" s="532"/>
      <c r="AQ37" s="532"/>
      <c r="AR37" s="525"/>
      <c r="AS37" s="525"/>
      <c r="AT37" s="525"/>
      <c r="AU37" s="525"/>
      <c r="AV37" s="525"/>
      <c r="AW37" s="525"/>
      <c r="AX37" s="525"/>
      <c r="AY37" s="525"/>
      <c r="AZ37" s="525"/>
      <c r="BA37" s="525"/>
      <c r="BB37" s="525"/>
      <c r="BC37" s="525"/>
      <c r="BD37" s="525"/>
      <c r="BE37" s="525"/>
      <c r="BF37" s="525"/>
      <c r="BG37" s="525"/>
      <c r="BH37" s="525"/>
      <c r="BI37" s="525"/>
      <c r="BJ37" s="525"/>
      <c r="BK37" s="525"/>
      <c r="BL37" s="525"/>
      <c r="BM37" s="525"/>
      <c r="BN37" s="525"/>
      <c r="BO37" s="525"/>
      <c r="BP37" s="525"/>
      <c r="BQ37" s="525"/>
      <c r="BR37" s="525"/>
      <c r="BS37" s="525"/>
      <c r="BT37" s="525"/>
      <c r="BU37" s="525"/>
    </row>
    <row r="38" spans="1:73" s="515" customFormat="1" ht="22.5" customHeight="1">
      <c r="A38" s="499" t="s">
        <v>1027</v>
      </c>
      <c r="B38" s="350" t="s">
        <v>902</v>
      </c>
      <c r="C38" s="377">
        <f>+'54'!C38+'53'!C38+'52'!C38+'51'!C38+'50'!C38</f>
        <v>28259</v>
      </c>
      <c r="D38" s="378">
        <f>+'54'!D38+'53'!D38+'52'!D38+'51'!D38+'50'!D38</f>
        <v>31812</v>
      </c>
      <c r="E38" s="378">
        <f>+'54'!E38+'53'!E38+'52'!E38+'51'!E38+'50'!E38</f>
        <v>30582</v>
      </c>
      <c r="F38" s="378">
        <f>+'54'!F38+'53'!F38+'52'!F38+'51'!F38+'50'!F38</f>
        <v>30294</v>
      </c>
      <c r="G38" s="377">
        <f>+'54'!G38+'53'!G38+'52'!G38+'51'!G38+'50'!G38</f>
        <v>5002</v>
      </c>
      <c r="H38" s="378">
        <f>+'54'!H38+'53'!H38+'52'!H38+'51'!H38+'50'!H38</f>
        <v>5234</v>
      </c>
      <c r="I38" s="378">
        <f>+'54'!I38+'53'!I38+'52'!I38+'51'!I38+'50'!I38</f>
        <v>4860</v>
      </c>
      <c r="J38" s="378">
        <f>+'54'!J38+'53'!J38+'52'!J38+'51'!J38+'50'!J38</f>
        <v>4806</v>
      </c>
      <c r="K38" s="377">
        <f>+'54'!K38+'53'!K38+'52'!K38+'51'!K38+'50'!K38</f>
        <v>10837</v>
      </c>
      <c r="L38" s="378">
        <f>+'54'!L38+'53'!L38+'52'!L38+'51'!L38+'50'!L38</f>
        <v>11531</v>
      </c>
      <c r="M38" s="378">
        <f>+'54'!M38+'53'!M38+'52'!M38+'51'!M38+'50'!M38</f>
        <v>11588</v>
      </c>
      <c r="N38" s="378">
        <f>+'54'!N38+'53'!N38+'52'!N38+'51'!N38+'50'!N38</f>
        <v>11261</v>
      </c>
      <c r="O38" s="377">
        <f>+'54'!O38+'53'!O38+'52'!O38+'51'!O38+'50'!O38</f>
        <v>5185</v>
      </c>
      <c r="P38" s="378">
        <f>+'54'!P38+'53'!P38+'52'!P38+'51'!P38+'50'!P38</f>
        <v>6560</v>
      </c>
      <c r="Q38" s="378">
        <f>+'54'!Q38+'53'!Q38+'52'!Q38+'51'!Q38+'50'!Q38</f>
        <v>5978</v>
      </c>
      <c r="R38" s="378">
        <f>+'54'!R38+'53'!R38+'52'!R38+'51'!R38+'50'!R38</f>
        <v>6325</v>
      </c>
      <c r="S38" s="377">
        <f>+'54'!S38+'53'!S38+'52'!S38+'51'!S38+'50'!S38</f>
        <v>2134</v>
      </c>
      <c r="T38" s="378">
        <f>+'54'!T38+'53'!T38+'52'!T38+'51'!T38+'50'!T38</f>
        <v>1400</v>
      </c>
      <c r="U38" s="378">
        <f>+'54'!U38+'53'!U38+'52'!U38+'51'!U38+'50'!U38</f>
        <v>1037</v>
      </c>
      <c r="V38" s="378">
        <f>+'54'!V38+'53'!V38+'52'!V38+'51'!V38+'50'!V38</f>
        <v>884</v>
      </c>
      <c r="W38" s="377">
        <f>+'54'!W38+'53'!W38+'52'!W38+'51'!W38+'50'!W38</f>
        <v>1895</v>
      </c>
      <c r="X38" s="378">
        <f>+'54'!X38+'53'!X38+'52'!X38+'51'!X38+'50'!X38</f>
        <v>1791</v>
      </c>
      <c r="Y38" s="378">
        <f>+'54'!Y38+'53'!Y38+'52'!Y38+'51'!Y38+'50'!Y38</f>
        <v>1710</v>
      </c>
      <c r="Z38" s="500">
        <f>+'54'!Z38+'53'!Z38+'52'!Z38+'51'!Z38+'50'!Z38</f>
        <v>1179</v>
      </c>
      <c r="AA38" s="378">
        <f t="shared" si="24"/>
        <v>53312</v>
      </c>
      <c r="AB38" s="378">
        <f t="shared" si="24"/>
        <v>58328</v>
      </c>
      <c r="AC38" s="378">
        <f t="shared" si="24"/>
        <v>55755</v>
      </c>
      <c r="AD38" s="500">
        <f t="shared" si="24"/>
        <v>54749</v>
      </c>
      <c r="AE38" s="532"/>
      <c r="AF38" s="532"/>
      <c r="AG38" s="532"/>
      <c r="AH38" s="532"/>
      <c r="AI38" s="532"/>
      <c r="AJ38" s="532"/>
      <c r="AK38" s="532"/>
      <c r="AL38" s="532"/>
      <c r="AM38" s="532"/>
      <c r="AN38" s="532"/>
      <c r="AO38" s="532"/>
      <c r="AP38" s="532"/>
      <c r="AQ38" s="532"/>
      <c r="AR38" s="525"/>
      <c r="AS38" s="525"/>
      <c r="AT38" s="525"/>
      <c r="AU38" s="525"/>
      <c r="AV38" s="525"/>
      <c r="AW38" s="525"/>
      <c r="AX38" s="525"/>
      <c r="AY38" s="525"/>
      <c r="AZ38" s="525"/>
      <c r="BA38" s="525"/>
      <c r="BB38" s="525"/>
      <c r="BC38" s="525"/>
      <c r="BD38" s="525"/>
      <c r="BE38" s="525"/>
      <c r="BF38" s="525"/>
      <c r="BG38" s="525"/>
      <c r="BH38" s="525"/>
      <c r="BI38" s="525"/>
      <c r="BJ38" s="525"/>
      <c r="BK38" s="525"/>
      <c r="BL38" s="525"/>
      <c r="BM38" s="525"/>
      <c r="BN38" s="525"/>
      <c r="BO38" s="525"/>
      <c r="BP38" s="525"/>
      <c r="BQ38" s="525"/>
      <c r="BR38" s="525"/>
      <c r="BS38" s="525"/>
      <c r="BT38" s="525"/>
      <c r="BU38" s="525"/>
    </row>
    <row r="39" spans="1:73" s="515" customFormat="1" ht="22.5" customHeight="1">
      <c r="A39" s="499"/>
      <c r="B39" s="254" t="s">
        <v>1062</v>
      </c>
      <c r="C39" s="377"/>
      <c r="D39" s="378"/>
      <c r="E39" s="378"/>
      <c r="F39" s="378">
        <f>+'54'!F39+'53'!F39+'52'!F39+'51'!F39+'50'!F39</f>
        <v>396</v>
      </c>
      <c r="G39" s="377"/>
      <c r="H39" s="378"/>
      <c r="I39" s="378"/>
      <c r="J39" s="378">
        <f>+'54'!J39+'53'!J39+'52'!J39+'51'!J39+'50'!J39</f>
        <v>3</v>
      </c>
      <c r="K39" s="377"/>
      <c r="L39" s="378"/>
      <c r="M39" s="378"/>
      <c r="N39" s="378">
        <f>+'54'!N39+'53'!N39+'52'!N39+'51'!N39+'50'!N39</f>
        <v>0</v>
      </c>
      <c r="O39" s="377"/>
      <c r="P39" s="378"/>
      <c r="Q39" s="378">
        <f>+'54'!Q39+'53'!Q39+'52'!Q39+'51'!Q39+'50'!Q39</f>
        <v>0</v>
      </c>
      <c r="R39" s="378">
        <f>+'54'!R39+'53'!R39+'52'!R39+'51'!R39+'50'!R39</f>
        <v>279</v>
      </c>
      <c r="S39" s="377"/>
      <c r="T39" s="378"/>
      <c r="U39" s="378">
        <f>+'54'!U39+'53'!U39+'52'!U39+'51'!U39+'50'!U39</f>
        <v>0</v>
      </c>
      <c r="V39" s="378">
        <f>+'54'!V39+'53'!V39+'52'!V39+'51'!V39+'50'!V39</f>
        <v>171</v>
      </c>
      <c r="W39" s="377"/>
      <c r="X39" s="378"/>
      <c r="Y39" s="378">
        <f>+'54'!Y39+'53'!Y39+'52'!Y39+'51'!Y39+'50'!Y39</f>
        <v>0</v>
      </c>
      <c r="Z39" s="500">
        <f>+'54'!Z39+'53'!Z39+'52'!Z39+'51'!Z39+'50'!Z39</f>
        <v>0</v>
      </c>
      <c r="AA39" s="378"/>
      <c r="AB39" s="378"/>
      <c r="AC39" s="378">
        <f t="shared" si="24"/>
        <v>0</v>
      </c>
      <c r="AD39" s="500">
        <f t="shared" si="24"/>
        <v>849</v>
      </c>
      <c r="AE39" s="532"/>
      <c r="AF39" s="532"/>
      <c r="AG39" s="532"/>
      <c r="AH39" s="532"/>
      <c r="AI39" s="532"/>
      <c r="AJ39" s="532"/>
      <c r="AK39" s="532"/>
      <c r="AL39" s="532"/>
      <c r="AM39" s="532"/>
      <c r="AN39" s="532"/>
      <c r="AO39" s="532"/>
      <c r="AP39" s="532"/>
      <c r="AQ39" s="532"/>
      <c r="AR39" s="525"/>
      <c r="AS39" s="525"/>
      <c r="AT39" s="525"/>
      <c r="AU39" s="525"/>
      <c r="AV39" s="525"/>
      <c r="AW39" s="525"/>
      <c r="AX39" s="525"/>
      <c r="AY39" s="525"/>
      <c r="AZ39" s="525"/>
      <c r="BA39" s="525"/>
      <c r="BB39" s="525"/>
      <c r="BC39" s="525"/>
      <c r="BD39" s="525"/>
      <c r="BE39" s="525"/>
      <c r="BF39" s="525"/>
      <c r="BG39" s="525"/>
      <c r="BH39" s="525"/>
      <c r="BI39" s="525"/>
      <c r="BJ39" s="525"/>
      <c r="BK39" s="525"/>
      <c r="BL39" s="525"/>
      <c r="BM39" s="525"/>
      <c r="BN39" s="525"/>
      <c r="BO39" s="525"/>
      <c r="BP39" s="525"/>
      <c r="BQ39" s="525"/>
      <c r="BR39" s="525"/>
      <c r="BS39" s="525"/>
      <c r="BT39" s="525"/>
      <c r="BU39" s="525"/>
    </row>
    <row r="40" spans="1:73" s="515" customFormat="1" ht="22.5" customHeight="1">
      <c r="A40" s="499" t="s">
        <v>585</v>
      </c>
      <c r="B40" s="350" t="s">
        <v>903</v>
      </c>
      <c r="C40" s="377">
        <f>+'54'!C40+'53'!C40+'52'!C40+'51'!C40+'50'!C40</f>
        <v>23237</v>
      </c>
      <c r="D40" s="378">
        <f>+'54'!D40+'53'!D40+'52'!D40+'51'!D40+'50'!D40</f>
        <v>21783</v>
      </c>
      <c r="E40" s="378">
        <f>+'54'!E40+'53'!E40+'52'!E40+'51'!E40+'50'!E40</f>
        <v>17545</v>
      </c>
      <c r="F40" s="378">
        <f>+'54'!F40+'53'!F40+'52'!F40+'51'!F40+'50'!F40</f>
        <v>17372</v>
      </c>
      <c r="G40" s="377">
        <f>+'54'!G40+'53'!G40+'52'!G40+'51'!G40+'50'!G40</f>
        <v>2653</v>
      </c>
      <c r="H40" s="378">
        <f>+'54'!H40+'53'!H40+'52'!H40+'51'!H40+'50'!H40</f>
        <v>3872</v>
      </c>
      <c r="I40" s="378">
        <f>+'54'!I40+'53'!I40+'52'!I40+'51'!I40+'50'!I40</f>
        <v>3463</v>
      </c>
      <c r="J40" s="378">
        <f>+'54'!J40+'53'!J40+'52'!J40+'51'!J40+'50'!J40</f>
        <v>3641</v>
      </c>
      <c r="K40" s="377">
        <f>+'54'!K40+'53'!K40+'52'!K40+'51'!K40+'50'!K40</f>
        <v>6250</v>
      </c>
      <c r="L40" s="378">
        <f>+'54'!L40+'53'!L40+'52'!L40+'51'!L40+'50'!L40</f>
        <v>4737</v>
      </c>
      <c r="M40" s="378">
        <f>+'54'!M40+'53'!M40+'52'!M40+'51'!M40+'50'!M40</f>
        <v>4401</v>
      </c>
      <c r="N40" s="378">
        <f>+'54'!N40+'53'!N40+'52'!N40+'51'!N40+'50'!N40</f>
        <v>5227</v>
      </c>
      <c r="O40" s="377">
        <f>+'54'!O40+'53'!O40+'52'!O40+'51'!O40+'50'!O40</f>
        <v>3669</v>
      </c>
      <c r="P40" s="378">
        <f>+'54'!P40+'53'!P40+'52'!P40+'51'!P40+'50'!P40</f>
        <v>2615</v>
      </c>
      <c r="Q40" s="378">
        <f>+'54'!Q40+'53'!Q40+'52'!Q40+'51'!Q40+'50'!Q40</f>
        <v>2531</v>
      </c>
      <c r="R40" s="378">
        <f>+'54'!R40+'53'!R40+'52'!R40+'51'!R40+'50'!R40</f>
        <v>2630</v>
      </c>
      <c r="S40" s="377">
        <f>+'54'!S40+'53'!S40+'52'!S40+'51'!S40+'50'!S40</f>
        <v>525</v>
      </c>
      <c r="T40" s="378">
        <f>+'54'!T40+'53'!T40+'52'!T40+'51'!T40+'50'!T40</f>
        <v>624</v>
      </c>
      <c r="U40" s="378">
        <f>+'54'!U40+'53'!U40+'52'!U40+'51'!U40+'50'!U40</f>
        <v>783</v>
      </c>
      <c r="V40" s="378">
        <f>+'54'!V40+'53'!V40+'52'!V40+'51'!V40+'50'!V40</f>
        <v>645</v>
      </c>
      <c r="W40" s="377">
        <f>+'54'!W40+'53'!W40+'52'!W40+'51'!W40+'50'!W40</f>
        <v>1239</v>
      </c>
      <c r="X40" s="378">
        <f>+'54'!X40+'53'!X40+'52'!X40+'51'!X40+'50'!X40</f>
        <v>597</v>
      </c>
      <c r="Y40" s="378">
        <f>+'54'!Y40+'53'!Y40+'52'!Y40+'51'!Y40+'50'!Y40</f>
        <v>628</v>
      </c>
      <c r="Z40" s="378">
        <f>+'54'!Z40+'53'!Z40+'52'!Z40+'51'!Z40+'50'!Z40</f>
        <v>107</v>
      </c>
      <c r="AA40" s="377">
        <f>+'54'!AA40+'53'!AA40+'52'!AA40+'51'!AA40+'50'!AA40</f>
        <v>37573</v>
      </c>
      <c r="AB40" s="378">
        <f>+'54'!AB40+'53'!AB40+'52'!AB40+'51'!AB40+'50'!AB40</f>
        <v>34228</v>
      </c>
      <c r="AC40" s="378">
        <f>+'54'!AC40+'53'!AC40+'52'!AC40+'51'!AC40+'50'!AC40</f>
        <v>29351</v>
      </c>
      <c r="AD40" s="500">
        <f>+'54'!AD40+'53'!AD40+'52'!AD40+'51'!AD40+'50'!AD40</f>
        <v>29622</v>
      </c>
      <c r="AE40" s="532"/>
      <c r="AF40" s="532"/>
      <c r="AG40" s="532"/>
      <c r="AH40" s="532"/>
      <c r="AI40" s="532"/>
      <c r="AJ40" s="532"/>
      <c r="AK40" s="532"/>
      <c r="AL40" s="532"/>
      <c r="AM40" s="532"/>
      <c r="AN40" s="532"/>
      <c r="AO40" s="532"/>
      <c r="AP40" s="532"/>
      <c r="AQ40" s="532"/>
      <c r="AR40" s="525"/>
      <c r="AS40" s="525"/>
      <c r="AT40" s="525"/>
      <c r="AU40" s="525"/>
      <c r="AV40" s="525"/>
      <c r="AW40" s="525"/>
      <c r="AX40" s="525"/>
      <c r="AY40" s="525"/>
      <c r="AZ40" s="525"/>
      <c r="BA40" s="525"/>
      <c r="BB40" s="525"/>
      <c r="BC40" s="525"/>
      <c r="BD40" s="525"/>
      <c r="BE40" s="525"/>
      <c r="BF40" s="525"/>
      <c r="BG40" s="525"/>
      <c r="BH40" s="525"/>
      <c r="BI40" s="525"/>
      <c r="BJ40" s="525"/>
      <c r="BK40" s="525"/>
      <c r="BL40" s="525"/>
      <c r="BM40" s="525"/>
      <c r="BN40" s="525"/>
      <c r="BO40" s="525"/>
      <c r="BP40" s="525"/>
      <c r="BQ40" s="525"/>
      <c r="BR40" s="525"/>
      <c r="BS40" s="525"/>
      <c r="BT40" s="525"/>
      <c r="BU40" s="525"/>
    </row>
    <row r="41" spans="1:73" s="515" customFormat="1" ht="22.5" customHeight="1">
      <c r="A41" s="1146"/>
      <c r="B41" s="254" t="s">
        <v>1343</v>
      </c>
      <c r="C41" s="377">
        <f>+'54'!C41+'53'!C41+'52'!C41+'51'!C41+'50'!C41</f>
        <v>0</v>
      </c>
      <c r="D41" s="378">
        <f>+'54'!D41+'53'!D41+'52'!D41+'51'!D41+'50'!D41</f>
        <v>2733</v>
      </c>
      <c r="E41" s="378">
        <f>+'54'!E41+'53'!E41+'52'!E41+'51'!E41+'50'!E41</f>
        <v>3321</v>
      </c>
      <c r="F41" s="378">
        <f>+'54'!F41+'53'!F41+'52'!F41+'51'!F41+'50'!F41</f>
        <v>1350</v>
      </c>
      <c r="G41" s="377">
        <f>+'54'!G41+'53'!G41+'52'!G41+'51'!G41+'50'!G41</f>
        <v>0</v>
      </c>
      <c r="H41" s="378">
        <f>+'54'!H41+'53'!H41+'52'!H41+'51'!H41+'50'!H41</f>
        <v>482</v>
      </c>
      <c r="I41" s="378">
        <f>+'54'!I41+'53'!I41+'52'!I41+'51'!I41+'50'!I41</f>
        <v>496</v>
      </c>
      <c r="J41" s="378">
        <f>+'54'!J41+'53'!J41+'52'!J41+'51'!J41+'50'!J41</f>
        <v>586</v>
      </c>
      <c r="K41" s="377">
        <f>+'54'!K41+'53'!K41+'52'!K41+'51'!K41+'50'!K41</f>
        <v>0</v>
      </c>
      <c r="L41" s="378">
        <f>+'54'!L41+'53'!L41+'52'!L41+'51'!L41+'50'!L41</f>
        <v>877</v>
      </c>
      <c r="M41" s="378">
        <f>+'54'!M41+'53'!M41+'52'!M41+'51'!M41+'50'!M41</f>
        <v>735</v>
      </c>
      <c r="N41" s="378">
        <f>+'54'!N41+'53'!N41+'52'!N41+'51'!N41+'50'!N41</f>
        <v>617</v>
      </c>
      <c r="O41" s="377">
        <f>+'54'!O41+'53'!O41+'52'!O41+'51'!O41+'50'!O41</f>
        <v>0</v>
      </c>
      <c r="P41" s="378">
        <f>+'54'!P41+'53'!P41+'52'!P41+'51'!P41+'50'!P41</f>
        <v>268</v>
      </c>
      <c r="Q41" s="378">
        <f>+'54'!Q41+'53'!Q41+'52'!Q41+'51'!Q41+'50'!Q41</f>
        <v>237</v>
      </c>
      <c r="R41" s="378">
        <f>+'54'!R41+'53'!R41+'52'!R41+'51'!R41+'50'!R41</f>
        <v>344</v>
      </c>
      <c r="S41" s="377">
        <f>+'54'!S41+'53'!S41+'52'!S41+'51'!S41+'50'!S41</f>
        <v>0</v>
      </c>
      <c r="T41" s="378">
        <f>+'54'!T41+'53'!T41+'52'!T41+'51'!T41+'50'!T41</f>
        <v>0</v>
      </c>
      <c r="U41" s="378">
        <f>+'54'!U41+'53'!U41+'52'!U41+'51'!U41+'50'!U41</f>
        <v>0</v>
      </c>
      <c r="V41" s="378">
        <f>+'54'!V41+'53'!V41+'52'!V41+'51'!V41+'50'!V41</f>
        <v>0</v>
      </c>
      <c r="W41" s="377">
        <f>+'54'!W41+'53'!W41+'52'!W41+'51'!W41+'50'!W41</f>
        <v>0</v>
      </c>
      <c r="X41" s="378">
        <f>+'54'!X41+'53'!X41+'52'!X41+'51'!X41+'50'!X41</f>
        <v>110</v>
      </c>
      <c r="Y41" s="378">
        <f>+'54'!Y41+'53'!Y41+'52'!Y41+'51'!Y41+'50'!Y41</f>
        <v>192</v>
      </c>
      <c r="Z41" s="378">
        <f>+'54'!Z41+'53'!Z41+'52'!Z41+'51'!Z41+'50'!Z41</f>
        <v>67</v>
      </c>
      <c r="AA41" s="377">
        <f>+'54'!AA41+'53'!AA41+'52'!AA41+'51'!AA41+'50'!AA41</f>
        <v>0</v>
      </c>
      <c r="AB41" s="378">
        <f>+'54'!AB41+'53'!AB41+'52'!AB41+'51'!AB41+'50'!AB41</f>
        <v>4470</v>
      </c>
      <c r="AC41" s="378">
        <f>+'54'!AC41+'53'!AC41+'52'!AC41+'51'!AC41+'50'!AC41</f>
        <v>4981</v>
      </c>
      <c r="AD41" s="500">
        <f>+'54'!AD41+'53'!AD41+'52'!AD41+'51'!AD41+'50'!AD41</f>
        <v>2964</v>
      </c>
      <c r="AE41" s="532"/>
      <c r="AF41" s="532"/>
      <c r="AG41" s="532"/>
      <c r="AH41" s="532"/>
      <c r="AI41" s="532"/>
      <c r="AJ41" s="532"/>
      <c r="AK41" s="532"/>
      <c r="AL41" s="532"/>
      <c r="AM41" s="532"/>
      <c r="AN41" s="532"/>
      <c r="AO41" s="532"/>
      <c r="AP41" s="532"/>
      <c r="AQ41" s="532"/>
      <c r="AR41" s="525"/>
      <c r="AS41" s="525"/>
      <c r="AT41" s="525"/>
      <c r="AU41" s="525"/>
      <c r="AV41" s="525"/>
      <c r="AW41" s="525"/>
      <c r="AX41" s="525"/>
      <c r="AY41" s="525"/>
      <c r="AZ41" s="525"/>
      <c r="BA41" s="525"/>
      <c r="BB41" s="525"/>
      <c r="BC41" s="525"/>
      <c r="BD41" s="525"/>
      <c r="BE41" s="525"/>
      <c r="BF41" s="525"/>
      <c r="BG41" s="525"/>
      <c r="BH41" s="525"/>
      <c r="BI41" s="525"/>
      <c r="BJ41" s="525"/>
      <c r="BK41" s="525"/>
      <c r="BL41" s="525"/>
      <c r="BM41" s="525"/>
      <c r="BN41" s="525"/>
      <c r="BO41" s="525"/>
      <c r="BP41" s="525"/>
      <c r="BQ41" s="525"/>
      <c r="BR41" s="525"/>
      <c r="BS41" s="525"/>
      <c r="BT41" s="525"/>
      <c r="BU41" s="525"/>
    </row>
    <row r="42" spans="1:73" s="515" customFormat="1" ht="22.5" customHeight="1">
      <c r="A42" s="499"/>
      <c r="B42" s="499" t="s">
        <v>690</v>
      </c>
      <c r="C42" s="377">
        <f t="shared" ref="C42:AD42" si="29">SUM(C40:C41)</f>
        <v>23237</v>
      </c>
      <c r="D42" s="378">
        <f t="shared" si="29"/>
        <v>24516</v>
      </c>
      <c r="E42" s="378">
        <f t="shared" si="29"/>
        <v>20866</v>
      </c>
      <c r="F42" s="378">
        <f t="shared" si="29"/>
        <v>18722</v>
      </c>
      <c r="G42" s="377">
        <f t="shared" si="29"/>
        <v>2653</v>
      </c>
      <c r="H42" s="378">
        <f t="shared" si="29"/>
        <v>4354</v>
      </c>
      <c r="I42" s="378">
        <f t="shared" si="29"/>
        <v>3959</v>
      </c>
      <c r="J42" s="378">
        <f t="shared" ref="J42" si="30">SUM(J40:J41)</f>
        <v>4227</v>
      </c>
      <c r="K42" s="377">
        <f t="shared" si="29"/>
        <v>6250</v>
      </c>
      <c r="L42" s="378">
        <f t="shared" si="29"/>
        <v>5614</v>
      </c>
      <c r="M42" s="378">
        <f t="shared" si="29"/>
        <v>5136</v>
      </c>
      <c r="N42" s="378">
        <f t="shared" si="29"/>
        <v>5844</v>
      </c>
      <c r="O42" s="377">
        <f t="shared" si="29"/>
        <v>3669</v>
      </c>
      <c r="P42" s="378">
        <f t="shared" si="29"/>
        <v>2883</v>
      </c>
      <c r="Q42" s="378">
        <f t="shared" si="29"/>
        <v>2768</v>
      </c>
      <c r="R42" s="378">
        <f t="shared" si="29"/>
        <v>2974</v>
      </c>
      <c r="S42" s="377">
        <f t="shared" si="29"/>
        <v>525</v>
      </c>
      <c r="T42" s="378">
        <f t="shared" si="29"/>
        <v>624</v>
      </c>
      <c r="U42" s="378">
        <f t="shared" si="29"/>
        <v>783</v>
      </c>
      <c r="V42" s="378">
        <f t="shared" si="29"/>
        <v>645</v>
      </c>
      <c r="W42" s="377">
        <f t="shared" si="29"/>
        <v>1239</v>
      </c>
      <c r="X42" s="378">
        <f t="shared" si="29"/>
        <v>707</v>
      </c>
      <c r="Y42" s="378">
        <f t="shared" si="29"/>
        <v>820</v>
      </c>
      <c r="Z42" s="378">
        <f t="shared" si="29"/>
        <v>174</v>
      </c>
      <c r="AA42" s="377">
        <f t="shared" si="29"/>
        <v>37573</v>
      </c>
      <c r="AB42" s="378">
        <f t="shared" si="29"/>
        <v>38698</v>
      </c>
      <c r="AC42" s="378">
        <f t="shared" si="29"/>
        <v>34332</v>
      </c>
      <c r="AD42" s="500">
        <f t="shared" si="29"/>
        <v>32586</v>
      </c>
      <c r="AE42" s="532"/>
      <c r="AF42" s="532"/>
      <c r="AG42" s="532"/>
      <c r="AH42" s="532"/>
      <c r="AI42" s="532"/>
      <c r="AJ42" s="532"/>
      <c r="AK42" s="532"/>
      <c r="AL42" s="532"/>
      <c r="AM42" s="532"/>
      <c r="AN42" s="532"/>
      <c r="AO42" s="532"/>
      <c r="AP42" s="532"/>
      <c r="AQ42" s="532"/>
      <c r="AR42" s="525"/>
      <c r="AS42" s="525"/>
      <c r="AT42" s="525"/>
      <c r="AU42" s="525"/>
      <c r="AV42" s="525"/>
      <c r="AW42" s="525"/>
      <c r="AX42" s="525"/>
      <c r="AY42" s="525"/>
      <c r="AZ42" s="525"/>
      <c r="BA42" s="525"/>
      <c r="BB42" s="525"/>
      <c r="BC42" s="525"/>
      <c r="BD42" s="525"/>
      <c r="BE42" s="525"/>
      <c r="BF42" s="525"/>
      <c r="BG42" s="525"/>
      <c r="BH42" s="525"/>
      <c r="BI42" s="525"/>
      <c r="BJ42" s="525"/>
      <c r="BK42" s="525"/>
      <c r="BL42" s="525"/>
      <c r="BM42" s="525"/>
      <c r="BN42" s="525"/>
      <c r="BO42" s="525"/>
      <c r="BP42" s="525"/>
      <c r="BQ42" s="525"/>
      <c r="BR42" s="525"/>
      <c r="BS42" s="525"/>
      <c r="BT42" s="525"/>
      <c r="BU42" s="525"/>
    </row>
    <row r="43" spans="1:73" s="6" customFormat="1" ht="22.5" customHeight="1">
      <c r="A43" s="509" t="s">
        <v>1028</v>
      </c>
      <c r="B43" s="505"/>
      <c r="C43" s="506">
        <f t="shared" ref="C43:AD43" si="31">SUM(C36:C41)+C27+C32</f>
        <v>193330</v>
      </c>
      <c r="D43" s="507">
        <f t="shared" si="31"/>
        <v>200114</v>
      </c>
      <c r="E43" s="507">
        <f t="shared" si="31"/>
        <v>189142</v>
      </c>
      <c r="F43" s="507">
        <f t="shared" si="31"/>
        <v>197932</v>
      </c>
      <c r="G43" s="506">
        <f t="shared" si="31"/>
        <v>29805</v>
      </c>
      <c r="H43" s="507">
        <f t="shared" si="31"/>
        <v>33225</v>
      </c>
      <c r="I43" s="507">
        <f t="shared" si="31"/>
        <v>35629</v>
      </c>
      <c r="J43" s="507">
        <f t="shared" si="31"/>
        <v>35386</v>
      </c>
      <c r="K43" s="506">
        <f t="shared" si="31"/>
        <v>66165</v>
      </c>
      <c r="L43" s="507">
        <f t="shared" si="31"/>
        <v>66885</v>
      </c>
      <c r="M43" s="507">
        <f t="shared" si="31"/>
        <v>66379</v>
      </c>
      <c r="N43" s="507">
        <f t="shared" si="31"/>
        <v>57950</v>
      </c>
      <c r="O43" s="506">
        <f t="shared" si="31"/>
        <v>34269</v>
      </c>
      <c r="P43" s="507">
        <f t="shared" si="31"/>
        <v>35562</v>
      </c>
      <c r="Q43" s="507">
        <f t="shared" si="31"/>
        <v>35749</v>
      </c>
      <c r="R43" s="507">
        <f t="shared" si="31"/>
        <v>39383</v>
      </c>
      <c r="S43" s="506">
        <f t="shared" si="31"/>
        <v>11811</v>
      </c>
      <c r="T43" s="507">
        <f t="shared" si="31"/>
        <v>9956</v>
      </c>
      <c r="U43" s="507">
        <f t="shared" si="31"/>
        <v>9198</v>
      </c>
      <c r="V43" s="507">
        <f t="shared" si="31"/>
        <v>9944</v>
      </c>
      <c r="W43" s="506">
        <f t="shared" si="31"/>
        <v>11040</v>
      </c>
      <c r="X43" s="507">
        <f t="shared" si="31"/>
        <v>8997</v>
      </c>
      <c r="Y43" s="507">
        <f t="shared" si="31"/>
        <v>10334</v>
      </c>
      <c r="Z43" s="507">
        <f t="shared" si="31"/>
        <v>3426</v>
      </c>
      <c r="AA43" s="506">
        <f t="shared" si="31"/>
        <v>346420</v>
      </c>
      <c r="AB43" s="507">
        <f t="shared" si="31"/>
        <v>354739</v>
      </c>
      <c r="AC43" s="507">
        <f t="shared" si="31"/>
        <v>346431</v>
      </c>
      <c r="AD43" s="508">
        <f t="shared" si="31"/>
        <v>344021</v>
      </c>
      <c r="AE43" s="532"/>
      <c r="AF43" s="532"/>
    </row>
    <row r="44" spans="1:73" s="515" customFormat="1" ht="22.5" customHeight="1">
      <c r="A44" s="1237" t="s">
        <v>706</v>
      </c>
      <c r="B44" s="1238"/>
      <c r="C44" s="510">
        <f t="shared" ref="C44:AD44" si="32">+C22+C43</f>
        <v>309750</v>
      </c>
      <c r="D44" s="511">
        <f t="shared" si="32"/>
        <v>319218</v>
      </c>
      <c r="E44" s="511">
        <f t="shared" si="32"/>
        <v>289391</v>
      </c>
      <c r="F44" s="512">
        <f t="shared" si="32"/>
        <v>300661</v>
      </c>
      <c r="G44" s="510">
        <f t="shared" si="32"/>
        <v>48176</v>
      </c>
      <c r="H44" s="511">
        <f t="shared" si="32"/>
        <v>55172</v>
      </c>
      <c r="I44" s="511">
        <f t="shared" si="32"/>
        <v>57666</v>
      </c>
      <c r="J44" s="512">
        <f t="shared" si="32"/>
        <v>57996</v>
      </c>
      <c r="K44" s="511">
        <f t="shared" si="32"/>
        <v>101944</v>
      </c>
      <c r="L44" s="511">
        <f t="shared" si="32"/>
        <v>101484</v>
      </c>
      <c r="M44" s="511">
        <f t="shared" si="32"/>
        <v>98823</v>
      </c>
      <c r="N44" s="511">
        <f t="shared" si="32"/>
        <v>91781</v>
      </c>
      <c r="O44" s="510">
        <f t="shared" si="32"/>
        <v>56258</v>
      </c>
      <c r="P44" s="511">
        <f t="shared" si="32"/>
        <v>59029</v>
      </c>
      <c r="Q44" s="511">
        <f t="shared" si="32"/>
        <v>56094</v>
      </c>
      <c r="R44" s="512">
        <f t="shared" si="32"/>
        <v>61385</v>
      </c>
      <c r="S44" s="511">
        <f t="shared" si="32"/>
        <v>16498</v>
      </c>
      <c r="T44" s="511">
        <f t="shared" si="32"/>
        <v>13226</v>
      </c>
      <c r="U44" s="511">
        <f t="shared" si="32"/>
        <v>12565</v>
      </c>
      <c r="V44" s="511">
        <f t="shared" si="32"/>
        <v>15336</v>
      </c>
      <c r="W44" s="510">
        <f t="shared" si="32"/>
        <v>16943</v>
      </c>
      <c r="X44" s="511">
        <f t="shared" si="32"/>
        <v>15312</v>
      </c>
      <c r="Y44" s="511">
        <f t="shared" si="32"/>
        <v>16243</v>
      </c>
      <c r="Z44" s="512">
        <f t="shared" si="32"/>
        <v>4532</v>
      </c>
      <c r="AA44" s="511">
        <f t="shared" si="32"/>
        <v>549569</v>
      </c>
      <c r="AB44" s="511">
        <f t="shared" si="32"/>
        <v>563441</v>
      </c>
      <c r="AC44" s="511">
        <f t="shared" si="32"/>
        <v>530782</v>
      </c>
      <c r="AD44" s="512">
        <f t="shared" si="32"/>
        <v>531691</v>
      </c>
      <c r="AE44" s="532"/>
      <c r="AF44" s="532"/>
      <c r="AG44" s="532"/>
      <c r="AH44" s="532"/>
      <c r="AI44" s="532"/>
      <c r="AJ44" s="532"/>
      <c r="AK44" s="532"/>
      <c r="AL44" s="532"/>
      <c r="AM44" s="532"/>
      <c r="AN44" s="532"/>
      <c r="AO44" s="532"/>
      <c r="AP44" s="532"/>
      <c r="AQ44" s="532"/>
      <c r="AR44" s="525"/>
      <c r="AS44" s="525"/>
      <c r="AT44" s="525"/>
      <c r="AU44" s="525"/>
      <c r="AV44" s="525"/>
      <c r="AW44" s="525"/>
      <c r="AX44" s="525"/>
      <c r="AY44" s="525"/>
      <c r="AZ44" s="525"/>
      <c r="BA44" s="525"/>
      <c r="BB44" s="525"/>
      <c r="BC44" s="525"/>
      <c r="BD44" s="525"/>
      <c r="BE44" s="525"/>
      <c r="BF44" s="525"/>
      <c r="BG44" s="525"/>
      <c r="BH44" s="525"/>
      <c r="BI44" s="525"/>
      <c r="BJ44" s="525"/>
      <c r="BK44" s="525"/>
      <c r="BL44" s="525"/>
      <c r="BM44" s="525"/>
      <c r="BN44" s="525"/>
      <c r="BO44" s="525"/>
      <c r="BP44" s="525"/>
      <c r="BQ44" s="525"/>
      <c r="BR44" s="525"/>
      <c r="BS44" s="525"/>
      <c r="BT44" s="525"/>
      <c r="BU44" s="525"/>
    </row>
    <row r="45" spans="1:73">
      <c r="A45" s="439"/>
      <c r="B45" s="439"/>
      <c r="C45" s="520"/>
      <c r="D45" s="520"/>
      <c r="E45" s="520"/>
      <c r="F45" s="520"/>
      <c r="G45" s="520"/>
      <c r="H45" s="520"/>
      <c r="I45" s="520"/>
      <c r="J45" s="520"/>
      <c r="K45" s="520"/>
      <c r="L45" s="520"/>
      <c r="M45" s="520"/>
      <c r="N45" s="520"/>
      <c r="O45" s="520"/>
      <c r="P45" s="520"/>
      <c r="Q45" s="520"/>
      <c r="R45" s="520"/>
      <c r="S45" s="520"/>
      <c r="T45" s="520"/>
      <c r="U45" s="520"/>
      <c r="V45" s="520"/>
      <c r="W45" s="520"/>
      <c r="X45" s="520"/>
      <c r="Y45" s="520"/>
      <c r="Z45" s="520"/>
      <c r="AA45" s="520"/>
      <c r="AB45" s="520"/>
      <c r="AC45" s="520"/>
      <c r="AD45" s="520"/>
      <c r="AE45" s="520"/>
      <c r="AF45" s="520"/>
      <c r="AG45" s="520"/>
      <c r="AH45" s="520"/>
      <c r="AI45" s="520"/>
      <c r="AJ45" s="520"/>
      <c r="AK45" s="520"/>
      <c r="AL45" s="520"/>
      <c r="AM45" s="520"/>
      <c r="AN45" s="520"/>
      <c r="AO45" s="520"/>
      <c r="AP45" s="520"/>
      <c r="AQ45" s="520"/>
      <c r="AR45" s="529"/>
      <c r="AS45" s="529"/>
      <c r="AT45" s="529"/>
      <c r="AU45" s="529"/>
      <c r="AV45" s="529"/>
      <c r="AW45" s="529"/>
      <c r="AX45" s="529"/>
      <c r="AY45" s="529"/>
      <c r="AZ45" s="529"/>
      <c r="BA45" s="529"/>
      <c r="BB45" s="529"/>
      <c r="BC45" s="529"/>
      <c r="BD45" s="529"/>
      <c r="BE45" s="529"/>
      <c r="BF45" s="529"/>
      <c r="BG45" s="529"/>
      <c r="BH45" s="529"/>
      <c r="BI45" s="529"/>
      <c r="BJ45" s="529"/>
      <c r="BK45" s="529"/>
      <c r="BL45" s="529"/>
      <c r="BM45" s="529"/>
      <c r="BN45" s="529"/>
      <c r="BO45" s="529"/>
      <c r="BP45" s="529"/>
      <c r="BQ45" s="529"/>
      <c r="BR45" s="529"/>
      <c r="BS45" s="529"/>
      <c r="BT45" s="529"/>
      <c r="BU45" s="529"/>
    </row>
    <row r="46" spans="1:73">
      <c r="B46" s="209"/>
      <c r="C46" s="520"/>
      <c r="D46" s="520"/>
      <c r="E46" s="520"/>
      <c r="F46" s="520"/>
      <c r="G46" s="520"/>
      <c r="H46" s="520"/>
      <c r="I46" s="520"/>
      <c r="J46" s="520"/>
      <c r="K46" s="520"/>
      <c r="L46" s="520"/>
      <c r="M46" s="520"/>
      <c r="N46" s="520"/>
      <c r="O46" s="520"/>
      <c r="P46" s="520"/>
      <c r="Q46" s="520"/>
      <c r="R46" s="520"/>
      <c r="S46" s="520"/>
      <c r="T46" s="520"/>
      <c r="U46" s="520"/>
      <c r="V46" s="520"/>
      <c r="W46" s="520"/>
      <c r="X46" s="520"/>
      <c r="Y46" s="520"/>
      <c r="Z46" s="520"/>
      <c r="AA46" s="520"/>
      <c r="AB46" s="520"/>
      <c r="AC46" s="520"/>
      <c r="AD46" s="520"/>
      <c r="AE46" s="520"/>
      <c r="AF46" s="520"/>
      <c r="AG46" s="520"/>
      <c r="AH46" s="520"/>
      <c r="AI46" s="520"/>
      <c r="AJ46" s="520"/>
      <c r="AK46" s="520"/>
      <c r="AL46" s="520"/>
      <c r="AM46" s="520"/>
      <c r="AN46" s="520"/>
      <c r="AO46" s="520"/>
      <c r="AP46" s="520"/>
      <c r="AQ46" s="520"/>
      <c r="AR46" s="529"/>
      <c r="AS46" s="529"/>
      <c r="AT46" s="529"/>
      <c r="AU46" s="529"/>
      <c r="AV46" s="529"/>
      <c r="AW46" s="529"/>
      <c r="AX46" s="529"/>
      <c r="AY46" s="529"/>
      <c r="AZ46" s="529"/>
      <c r="BA46" s="529"/>
      <c r="BB46" s="529"/>
      <c r="BC46" s="529"/>
      <c r="BD46" s="529"/>
      <c r="BE46" s="529"/>
      <c r="BF46" s="529"/>
      <c r="BG46" s="529"/>
      <c r="BH46" s="529"/>
      <c r="BI46" s="529"/>
      <c r="BJ46" s="529"/>
      <c r="BK46" s="529"/>
      <c r="BL46" s="529"/>
      <c r="BM46" s="529"/>
      <c r="BN46" s="529"/>
      <c r="BO46" s="529"/>
      <c r="BP46" s="529"/>
      <c r="BQ46" s="529"/>
      <c r="BR46" s="529"/>
      <c r="BS46" s="529"/>
      <c r="BT46" s="529"/>
      <c r="BU46" s="529"/>
    </row>
    <row r="47" spans="1:73">
      <c r="B47" s="209"/>
      <c r="C47" s="517"/>
      <c r="D47" s="517"/>
      <c r="E47" s="517"/>
      <c r="F47" s="520"/>
      <c r="G47" s="517"/>
      <c r="H47" s="517"/>
      <c r="I47" s="517"/>
      <c r="J47" s="520"/>
      <c r="K47" s="517"/>
      <c r="L47" s="517"/>
      <c r="M47" s="517"/>
      <c r="N47" s="520"/>
      <c r="O47" s="517"/>
      <c r="P47" s="517"/>
      <c r="Q47" s="517"/>
      <c r="R47" s="520"/>
      <c r="S47" s="517"/>
      <c r="T47" s="517"/>
      <c r="U47" s="517"/>
      <c r="V47" s="520"/>
      <c r="W47" s="517"/>
      <c r="X47" s="517"/>
      <c r="Y47" s="517"/>
      <c r="Z47" s="520"/>
      <c r="AA47" s="517"/>
      <c r="AB47" s="517"/>
      <c r="AC47" s="517"/>
      <c r="AD47" s="520"/>
      <c r="AE47" s="517"/>
      <c r="AF47" s="517"/>
      <c r="AG47" s="517"/>
      <c r="AH47" s="517"/>
      <c r="AI47" s="517"/>
      <c r="AJ47" s="517"/>
      <c r="AK47" s="517"/>
      <c r="AL47" s="517"/>
      <c r="AM47" s="517"/>
      <c r="AN47" s="517"/>
      <c r="AO47" s="517"/>
      <c r="AP47" s="517"/>
      <c r="AQ47" s="517"/>
    </row>
    <row r="48" spans="1:73">
      <c r="B48" s="209"/>
      <c r="C48" s="517"/>
      <c r="D48" s="517"/>
      <c r="E48" s="517"/>
      <c r="F48" s="520"/>
      <c r="G48" s="517"/>
      <c r="H48" s="517"/>
      <c r="I48" s="517"/>
      <c r="J48" s="520"/>
      <c r="K48" s="517"/>
      <c r="L48" s="517"/>
      <c r="M48" s="517"/>
      <c r="N48" s="520"/>
      <c r="O48" s="517"/>
      <c r="P48" s="517"/>
      <c r="Q48" s="517"/>
      <c r="R48" s="520"/>
      <c r="S48" s="517"/>
      <c r="T48" s="517"/>
      <c r="U48" s="517"/>
      <c r="V48" s="520"/>
      <c r="W48" s="517"/>
      <c r="X48" s="517"/>
      <c r="Y48" s="517"/>
      <c r="Z48" s="520"/>
      <c r="AA48" s="520"/>
      <c r="AB48" s="520"/>
      <c r="AC48" s="520"/>
      <c r="AD48" s="520"/>
      <c r="AE48" s="517"/>
      <c r="AF48" s="520"/>
      <c r="AG48" s="517"/>
      <c r="AH48" s="517"/>
      <c r="AI48" s="517"/>
      <c r="AJ48" s="517"/>
      <c r="AK48" s="517"/>
      <c r="AL48" s="517"/>
      <c r="AM48" s="517"/>
      <c r="AN48" s="517"/>
      <c r="AO48" s="517"/>
      <c r="AP48" s="517"/>
      <c r="AQ48" s="517"/>
    </row>
    <row r="49" spans="2:30">
      <c r="F49" s="529"/>
      <c r="G49" s="529"/>
      <c r="H49" s="529"/>
      <c r="I49" s="529"/>
      <c r="J49" s="529"/>
      <c r="K49" s="529"/>
      <c r="L49" s="529"/>
      <c r="M49" s="529"/>
      <c r="N49" s="529"/>
      <c r="O49" s="529"/>
      <c r="P49" s="529"/>
      <c r="Q49" s="529"/>
      <c r="R49" s="529"/>
      <c r="S49" s="529"/>
      <c r="T49" s="529"/>
      <c r="U49" s="529"/>
      <c r="V49" s="529"/>
      <c r="W49" s="529"/>
      <c r="X49" s="529"/>
      <c r="Y49" s="529"/>
      <c r="Z49" s="529"/>
      <c r="AA49" s="529"/>
      <c r="AB49" s="529"/>
      <c r="AC49" s="529"/>
      <c r="AD49" s="529"/>
    </row>
    <row r="50" spans="2:30">
      <c r="F50" s="529"/>
      <c r="G50" s="529"/>
      <c r="H50" s="529"/>
      <c r="I50" s="529"/>
      <c r="J50" s="529"/>
      <c r="K50" s="529"/>
      <c r="L50" s="529"/>
      <c r="M50" s="529"/>
      <c r="N50" s="529"/>
      <c r="O50" s="529"/>
      <c r="P50" s="529"/>
      <c r="Q50" s="529"/>
      <c r="R50" s="529"/>
      <c r="S50" s="529"/>
      <c r="T50" s="529"/>
      <c r="U50" s="529"/>
      <c r="V50" s="529"/>
      <c r="W50" s="529"/>
      <c r="X50" s="529"/>
      <c r="Y50" s="529"/>
      <c r="Z50" s="529"/>
      <c r="AA50" s="529"/>
      <c r="AB50" s="529"/>
      <c r="AC50" s="529"/>
      <c r="AD50" s="529"/>
    </row>
    <row r="51" spans="2:30">
      <c r="B51" s="209"/>
      <c r="F51" s="529"/>
      <c r="J51" s="529"/>
      <c r="N51" s="529"/>
      <c r="R51" s="529"/>
      <c r="V51" s="529"/>
      <c r="Z51" s="529"/>
      <c r="AD51" s="529"/>
    </row>
    <row r="52" spans="2:30">
      <c r="F52" s="529"/>
      <c r="G52" s="529"/>
      <c r="H52" s="529"/>
      <c r="I52" s="529"/>
      <c r="J52" s="529"/>
      <c r="K52" s="529"/>
      <c r="L52" s="529"/>
      <c r="M52" s="529"/>
      <c r="N52" s="529"/>
      <c r="O52" s="529"/>
      <c r="P52" s="529"/>
      <c r="Q52" s="529"/>
      <c r="R52" s="529"/>
      <c r="S52" s="529"/>
      <c r="T52" s="529"/>
      <c r="U52" s="529"/>
      <c r="V52" s="529"/>
      <c r="W52" s="529"/>
      <c r="X52" s="529"/>
      <c r="Y52" s="529"/>
      <c r="Z52" s="529"/>
      <c r="AA52" s="529"/>
      <c r="AB52" s="529"/>
      <c r="AC52" s="529"/>
      <c r="AD52" s="529"/>
    </row>
    <row r="53" spans="2:30">
      <c r="F53" s="529"/>
      <c r="J53" s="529"/>
      <c r="N53" s="529"/>
      <c r="R53" s="529"/>
      <c r="V53" s="529"/>
      <c r="Z53" s="529"/>
      <c r="AD53" s="529"/>
    </row>
    <row r="54" spans="2:30">
      <c r="F54" s="529"/>
      <c r="J54" s="529"/>
      <c r="N54" s="529"/>
      <c r="R54" s="529"/>
      <c r="Z54" s="529"/>
      <c r="AD54" s="529"/>
    </row>
    <row r="57" spans="2:30">
      <c r="F57" s="529"/>
      <c r="J57" s="529"/>
      <c r="N57" s="529"/>
      <c r="R57" s="529"/>
      <c r="V57" s="529"/>
      <c r="Z57" s="529"/>
      <c r="AD57" s="529"/>
    </row>
  </sheetData>
  <mergeCells count="12">
    <mergeCell ref="A44:B44"/>
    <mergeCell ref="A1:AD1"/>
    <mergeCell ref="A2:AD2"/>
    <mergeCell ref="A3:AD3"/>
    <mergeCell ref="A4:AD4"/>
    <mergeCell ref="AA7:AD7"/>
    <mergeCell ref="W7:Z7"/>
    <mergeCell ref="C7:F7"/>
    <mergeCell ref="G7:J7"/>
    <mergeCell ref="K7:N7"/>
    <mergeCell ref="O7:R7"/>
    <mergeCell ref="S7:V7"/>
  </mergeCells>
  <phoneticPr fontId="19" type="noConversion"/>
  <pageMargins left="0.39370078740157483" right="0" top="0.98425196850393704" bottom="0.98425196850393704" header="0" footer="0"/>
  <pageSetup paperSize="5" scale="69" orientation="landscape" horizontalDpi="300" verticalDpi="300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52"/>
  <sheetViews>
    <sheetView topLeftCell="J40" workbookViewId="0">
      <selection activeCell="V44" sqref="V44"/>
    </sheetView>
  </sheetViews>
  <sheetFormatPr baseColWidth="10" defaultColWidth="11.85546875" defaultRowHeight="12"/>
  <cols>
    <col min="1" max="1" width="12.7109375" style="406" customWidth="1"/>
    <col min="2" max="2" width="19.85546875" style="406" customWidth="1"/>
    <col min="3" max="48" width="7.140625" style="406" customWidth="1"/>
    <col min="49" max="16384" width="11.85546875" style="406"/>
  </cols>
  <sheetData>
    <row r="1" spans="1:29" ht="23.25" customHeight="1">
      <c r="A1" s="1240" t="s">
        <v>1034</v>
      </c>
      <c r="B1" s="1225"/>
      <c r="C1" s="1225"/>
      <c r="D1" s="1225"/>
      <c r="E1" s="1225"/>
      <c r="F1" s="1225"/>
      <c r="G1" s="1225"/>
      <c r="H1" s="1225"/>
      <c r="I1" s="1225"/>
      <c r="J1" s="1225"/>
      <c r="K1" s="1225"/>
      <c r="L1" s="1225"/>
      <c r="M1" s="1225"/>
      <c r="N1" s="1225"/>
      <c r="O1" s="1225"/>
      <c r="P1" s="1225"/>
      <c r="Q1" s="1225"/>
      <c r="R1" s="1225"/>
      <c r="S1" s="1225"/>
      <c r="T1" s="1225"/>
      <c r="U1" s="1225"/>
      <c r="V1" s="1225"/>
    </row>
    <row r="2" spans="1:29">
      <c r="A2" s="1225" t="s">
        <v>970</v>
      </c>
      <c r="B2" s="1225"/>
      <c r="C2" s="1225"/>
      <c r="D2" s="1225"/>
      <c r="E2" s="1225"/>
      <c r="F2" s="1225"/>
      <c r="G2" s="1225"/>
      <c r="H2" s="1225"/>
      <c r="I2" s="1225"/>
      <c r="J2" s="1225"/>
      <c r="K2" s="1225"/>
      <c r="L2" s="1225"/>
      <c r="M2" s="1225"/>
      <c r="N2" s="1225"/>
      <c r="O2" s="1225"/>
      <c r="P2" s="1225"/>
      <c r="Q2" s="1225"/>
      <c r="R2" s="1225"/>
      <c r="S2" s="1225"/>
      <c r="T2" s="1225"/>
      <c r="U2" s="1225"/>
      <c r="V2" s="1225"/>
    </row>
    <row r="3" spans="1:29">
      <c r="A3" s="1225" t="str">
        <f>+'55'!A4:AD4</f>
        <v>2011 - 2014</v>
      </c>
      <c r="B3" s="1225"/>
      <c r="C3" s="1225"/>
      <c r="D3" s="1225"/>
      <c r="E3" s="1225"/>
      <c r="F3" s="1225"/>
      <c r="G3" s="1225"/>
      <c r="H3" s="1225"/>
      <c r="I3" s="1225"/>
      <c r="J3" s="1225"/>
      <c r="K3" s="1225"/>
      <c r="L3" s="1225"/>
      <c r="M3" s="1225"/>
      <c r="N3" s="1225"/>
      <c r="O3" s="1225"/>
      <c r="P3" s="1225"/>
      <c r="Q3" s="1225"/>
      <c r="R3" s="1225"/>
      <c r="S3" s="1225"/>
      <c r="T3" s="1225"/>
      <c r="U3" s="1225"/>
      <c r="V3" s="1225"/>
    </row>
    <row r="6" spans="1:29" s="515" customFormat="1" ht="18" customHeight="1">
      <c r="A6" s="473" t="s">
        <v>590</v>
      </c>
      <c r="B6" s="514" t="s">
        <v>926</v>
      </c>
      <c r="C6" s="1221" t="s">
        <v>1035</v>
      </c>
      <c r="D6" s="1221"/>
      <c r="E6" s="1221"/>
      <c r="F6" s="1222"/>
      <c r="G6" s="1221" t="s">
        <v>1036</v>
      </c>
      <c r="H6" s="1221"/>
      <c r="I6" s="1221"/>
      <c r="J6" s="1221"/>
      <c r="K6" s="1220" t="s">
        <v>1037</v>
      </c>
      <c r="L6" s="1221"/>
      <c r="M6" s="1221"/>
      <c r="N6" s="1222"/>
      <c r="O6" s="1220" t="s">
        <v>1038</v>
      </c>
      <c r="P6" s="1221"/>
      <c r="Q6" s="1221"/>
      <c r="R6" s="1222"/>
      <c r="S6" s="1217" t="s">
        <v>571</v>
      </c>
      <c r="T6" s="1217"/>
      <c r="U6" s="1217"/>
      <c r="V6" s="1218"/>
    </row>
    <row r="7" spans="1:29" s="515" customFormat="1" ht="18" customHeight="1">
      <c r="A7" s="495"/>
      <c r="B7" s="531"/>
      <c r="C7" s="496">
        <f>+'55'!S8</f>
        <v>2011</v>
      </c>
      <c r="D7" s="497">
        <f>+'55'!T8</f>
        <v>2012</v>
      </c>
      <c r="E7" s="497">
        <f>+'55'!U8</f>
        <v>2013</v>
      </c>
      <c r="F7" s="498">
        <f>+'55'!V8</f>
        <v>2014</v>
      </c>
      <c r="G7" s="496">
        <f>+'55'!W8</f>
        <v>2011</v>
      </c>
      <c r="H7" s="497">
        <f>+'55'!X8</f>
        <v>2012</v>
      </c>
      <c r="I7" s="497">
        <f>+'55'!Y8</f>
        <v>2013</v>
      </c>
      <c r="J7" s="498">
        <f>+'55'!Z8</f>
        <v>2014</v>
      </c>
      <c r="K7" s="496">
        <f t="shared" ref="K7:V7" si="0">+C7</f>
        <v>2011</v>
      </c>
      <c r="L7" s="497">
        <f t="shared" si="0"/>
        <v>2012</v>
      </c>
      <c r="M7" s="497">
        <f t="shared" si="0"/>
        <v>2013</v>
      </c>
      <c r="N7" s="498">
        <f t="shared" si="0"/>
        <v>2014</v>
      </c>
      <c r="O7" s="497">
        <f t="shared" si="0"/>
        <v>2011</v>
      </c>
      <c r="P7" s="497">
        <f t="shared" si="0"/>
        <v>2012</v>
      </c>
      <c r="Q7" s="497">
        <f t="shared" si="0"/>
        <v>2013</v>
      </c>
      <c r="R7" s="498">
        <f t="shared" si="0"/>
        <v>2014</v>
      </c>
      <c r="S7" s="497">
        <f t="shared" si="0"/>
        <v>2011</v>
      </c>
      <c r="T7" s="497">
        <f t="shared" si="0"/>
        <v>2012</v>
      </c>
      <c r="U7" s="497">
        <f t="shared" si="0"/>
        <v>2013</v>
      </c>
      <c r="V7" s="498">
        <f t="shared" si="0"/>
        <v>2014</v>
      </c>
      <c r="W7" s="534"/>
      <c r="X7" s="534"/>
      <c r="Y7" s="534"/>
      <c r="Z7" s="534"/>
      <c r="AA7" s="534"/>
      <c r="AB7" s="534"/>
      <c r="AC7" s="534"/>
    </row>
    <row r="8" spans="1:29" s="515" customFormat="1" ht="18" customHeight="1">
      <c r="A8" s="514" t="s">
        <v>1022</v>
      </c>
      <c r="B8" s="514" t="s">
        <v>1039</v>
      </c>
      <c r="C8" s="368"/>
      <c r="D8" s="368"/>
      <c r="E8" s="368"/>
      <c r="F8" s="369"/>
      <c r="G8" s="368"/>
      <c r="H8" s="368"/>
      <c r="I8" s="368"/>
      <c r="J8" s="369"/>
      <c r="K8" s="368"/>
      <c r="L8" s="368"/>
      <c r="M8" s="368"/>
      <c r="N8" s="369"/>
      <c r="O8" s="368"/>
      <c r="P8" s="368"/>
      <c r="Q8" s="368"/>
      <c r="R8" s="369"/>
      <c r="S8" s="502">
        <f t="shared" ref="S8:V9" si="1">+C8+G8+K8+O8</f>
        <v>0</v>
      </c>
      <c r="T8" s="503">
        <f t="shared" si="1"/>
        <v>0</v>
      </c>
      <c r="U8" s="503">
        <f t="shared" si="1"/>
        <v>0</v>
      </c>
      <c r="V8" s="501">
        <f t="shared" si="1"/>
        <v>0</v>
      </c>
      <c r="W8" s="534"/>
      <c r="X8" s="534"/>
      <c r="Y8" s="534"/>
      <c r="Z8" s="534"/>
      <c r="AA8" s="534"/>
      <c r="AB8" s="534"/>
      <c r="AC8" s="534"/>
    </row>
    <row r="9" spans="1:29" s="515" customFormat="1" ht="18" customHeight="1">
      <c r="A9" s="499"/>
      <c r="B9" s="350" t="s">
        <v>887</v>
      </c>
      <c r="C9" s="378">
        <v>404</v>
      </c>
      <c r="D9" s="378">
        <v>368</v>
      </c>
      <c r="E9" s="378">
        <v>412</v>
      </c>
      <c r="F9" s="500">
        <v>304</v>
      </c>
      <c r="G9" s="378">
        <v>689</v>
      </c>
      <c r="H9" s="378">
        <v>772</v>
      </c>
      <c r="I9" s="378">
        <v>645</v>
      </c>
      <c r="J9" s="500">
        <v>638</v>
      </c>
      <c r="K9" s="378">
        <v>2057</v>
      </c>
      <c r="L9" s="378">
        <v>1868</v>
      </c>
      <c r="M9" s="378">
        <v>1602</v>
      </c>
      <c r="N9" s="500">
        <v>1558</v>
      </c>
      <c r="O9" s="378">
        <v>554</v>
      </c>
      <c r="P9" s="378">
        <v>525</v>
      </c>
      <c r="Q9" s="378">
        <v>442</v>
      </c>
      <c r="R9" s="500">
        <v>424</v>
      </c>
      <c r="S9" s="377">
        <f t="shared" si="1"/>
        <v>3704</v>
      </c>
      <c r="T9" s="378">
        <f t="shared" si="1"/>
        <v>3533</v>
      </c>
      <c r="U9" s="378">
        <f t="shared" si="1"/>
        <v>3101</v>
      </c>
      <c r="V9" s="500">
        <f t="shared" si="1"/>
        <v>2924</v>
      </c>
      <c r="W9" s="534"/>
      <c r="X9" s="532"/>
      <c r="Y9" s="534"/>
      <c r="Z9" s="532"/>
      <c r="AA9" s="534"/>
      <c r="AB9" s="534"/>
      <c r="AC9" s="534"/>
    </row>
    <row r="10" spans="1:29" s="515" customFormat="1" ht="18" customHeight="1">
      <c r="A10" s="499"/>
      <c r="B10" s="350" t="s">
        <v>888</v>
      </c>
      <c r="C10" s="378">
        <v>394</v>
      </c>
      <c r="D10" s="378">
        <v>226</v>
      </c>
      <c r="E10" s="378">
        <v>202</v>
      </c>
      <c r="F10" s="500">
        <v>260</v>
      </c>
      <c r="G10" s="378">
        <v>942</v>
      </c>
      <c r="H10" s="378">
        <v>617</v>
      </c>
      <c r="I10" s="378">
        <v>449</v>
      </c>
      <c r="J10" s="500">
        <v>487</v>
      </c>
      <c r="K10" s="378">
        <v>2069</v>
      </c>
      <c r="L10" s="378">
        <v>1639</v>
      </c>
      <c r="M10" s="378">
        <v>1054</v>
      </c>
      <c r="N10" s="500">
        <v>1250</v>
      </c>
      <c r="O10" s="378">
        <v>166</v>
      </c>
      <c r="P10" s="378">
        <v>178</v>
      </c>
      <c r="Q10" s="378">
        <v>134</v>
      </c>
      <c r="R10" s="500">
        <v>161</v>
      </c>
      <c r="S10" s="377">
        <f>+C10+G10+K10+O10</f>
        <v>3571</v>
      </c>
      <c r="T10" s="378">
        <f>+D10+H10+L10+P10</f>
        <v>2660</v>
      </c>
      <c r="U10" s="378">
        <f>+E10+I10+M10+Q10</f>
        <v>1839</v>
      </c>
      <c r="V10" s="500">
        <f>+F10+J10+N10+R10</f>
        <v>2158</v>
      </c>
      <c r="W10" s="534"/>
      <c r="X10" s="534"/>
      <c r="Y10" s="534"/>
      <c r="Z10" s="534"/>
      <c r="AA10" s="532"/>
      <c r="AB10" s="534"/>
      <c r="AC10" s="534"/>
    </row>
    <row r="11" spans="1:29" s="515" customFormat="1" ht="18" customHeight="1">
      <c r="A11" s="499"/>
      <c r="B11" s="303" t="s">
        <v>1357</v>
      </c>
      <c r="C11" s="378"/>
      <c r="D11" s="378">
        <v>6</v>
      </c>
      <c r="E11" s="378">
        <v>11</v>
      </c>
      <c r="F11" s="500">
        <v>6</v>
      </c>
      <c r="G11" s="378"/>
      <c r="H11" s="378">
        <v>7</v>
      </c>
      <c r="I11" s="378">
        <v>12</v>
      </c>
      <c r="J11" s="500">
        <v>68</v>
      </c>
      <c r="K11" s="378"/>
      <c r="L11" s="378">
        <v>19</v>
      </c>
      <c r="M11" s="378">
        <v>49</v>
      </c>
      <c r="N11" s="500">
        <v>46</v>
      </c>
      <c r="O11" s="378"/>
      <c r="P11" s="378">
        <v>6</v>
      </c>
      <c r="Q11" s="378">
        <v>8</v>
      </c>
      <c r="R11" s="500">
        <v>5</v>
      </c>
      <c r="S11" s="377"/>
      <c r="T11" s="378">
        <f>+D11+H11+L11+P11</f>
        <v>38</v>
      </c>
      <c r="U11" s="378">
        <f>+E11+I11+M11+Q11</f>
        <v>80</v>
      </c>
      <c r="V11" s="500">
        <f>+F11+J11+N11+R11</f>
        <v>125</v>
      </c>
      <c r="W11" s="534"/>
      <c r="X11" s="534"/>
      <c r="Y11" s="534"/>
      <c r="Z11" s="534"/>
      <c r="AA11" s="534"/>
      <c r="AB11" s="534"/>
      <c r="AC11" s="534"/>
    </row>
    <row r="12" spans="1:29" s="515" customFormat="1" ht="18" customHeight="1">
      <c r="A12" s="499"/>
      <c r="B12" s="350" t="s">
        <v>889</v>
      </c>
      <c r="C12" s="378">
        <v>45</v>
      </c>
      <c r="D12" s="378">
        <v>36</v>
      </c>
      <c r="E12" s="378">
        <v>53</v>
      </c>
      <c r="F12" s="500">
        <v>59</v>
      </c>
      <c r="G12" s="378">
        <v>74</v>
      </c>
      <c r="H12" s="378">
        <v>109</v>
      </c>
      <c r="I12" s="378">
        <v>104</v>
      </c>
      <c r="J12" s="500">
        <v>161</v>
      </c>
      <c r="K12" s="378">
        <v>122</v>
      </c>
      <c r="L12" s="378">
        <v>147</v>
      </c>
      <c r="M12" s="378">
        <v>191</v>
      </c>
      <c r="N12" s="500">
        <v>302</v>
      </c>
      <c r="O12" s="378">
        <v>20</v>
      </c>
      <c r="P12" s="378">
        <v>18</v>
      </c>
      <c r="Q12" s="378">
        <v>22</v>
      </c>
      <c r="R12" s="500">
        <v>28</v>
      </c>
      <c r="S12" s="377">
        <f>+C12+G12+K12+O12</f>
        <v>261</v>
      </c>
      <c r="T12" s="378">
        <f>+D12+H12+L12+P12</f>
        <v>310</v>
      </c>
      <c r="U12" s="378">
        <f>+E12+I12+M12+Q12</f>
        <v>370</v>
      </c>
      <c r="V12" s="500">
        <f t="shared" ref="V12:V23" si="2">+F12+J12+N12+R12</f>
        <v>550</v>
      </c>
      <c r="W12" s="534"/>
      <c r="X12" s="534"/>
      <c r="Y12" s="534"/>
      <c r="Z12" s="534"/>
      <c r="AA12" s="534"/>
      <c r="AB12" s="534"/>
      <c r="AC12" s="534"/>
    </row>
    <row r="13" spans="1:29" s="515" customFormat="1" ht="18" customHeight="1">
      <c r="A13" s="499"/>
      <c r="B13" s="350" t="s">
        <v>690</v>
      </c>
      <c r="C13" s="378">
        <v>843</v>
      </c>
      <c r="D13" s="378">
        <v>636</v>
      </c>
      <c r="E13" s="378">
        <v>678</v>
      </c>
      <c r="F13" s="500">
        <f>SUM(F8:F12)</f>
        <v>629</v>
      </c>
      <c r="G13" s="378">
        <v>1705</v>
      </c>
      <c r="H13" s="378">
        <v>1505</v>
      </c>
      <c r="I13" s="378">
        <v>1210</v>
      </c>
      <c r="J13" s="500">
        <f>SUM(J8:J12)</f>
        <v>1354</v>
      </c>
      <c r="K13" s="378">
        <v>4248</v>
      </c>
      <c r="L13" s="378">
        <v>3673</v>
      </c>
      <c r="M13" s="378">
        <v>2896</v>
      </c>
      <c r="N13" s="500">
        <f>SUM(N8:N12)</f>
        <v>3156</v>
      </c>
      <c r="O13" s="378">
        <v>740</v>
      </c>
      <c r="P13" s="378">
        <v>727</v>
      </c>
      <c r="Q13" s="378">
        <v>606</v>
      </c>
      <c r="R13" s="500">
        <f>SUM(R8:R12)</f>
        <v>618</v>
      </c>
      <c r="S13" s="377">
        <f>SUM(S8:S12)</f>
        <v>7536</v>
      </c>
      <c r="T13" s="378">
        <f>SUM(T8:T12)</f>
        <v>6541</v>
      </c>
      <c r="U13" s="378">
        <f>SUM(U8:U12)</f>
        <v>5390</v>
      </c>
      <c r="V13" s="500">
        <f>SUM(V8:V12)</f>
        <v>5757</v>
      </c>
      <c r="W13" s="534"/>
      <c r="X13" s="534"/>
      <c r="Y13" s="534"/>
      <c r="Z13" s="534"/>
      <c r="AA13" s="534"/>
      <c r="AB13" s="534"/>
      <c r="AC13" s="534"/>
    </row>
    <row r="14" spans="1:29" s="515" customFormat="1" ht="18" customHeight="1">
      <c r="A14" s="499" t="s">
        <v>576</v>
      </c>
      <c r="B14" s="350" t="s">
        <v>890</v>
      </c>
      <c r="C14" s="378">
        <v>185</v>
      </c>
      <c r="D14" s="378">
        <v>108</v>
      </c>
      <c r="E14" s="378">
        <v>173</v>
      </c>
      <c r="F14" s="500">
        <v>115</v>
      </c>
      <c r="G14" s="378">
        <v>443</v>
      </c>
      <c r="H14" s="378">
        <v>184</v>
      </c>
      <c r="I14" s="378">
        <v>259</v>
      </c>
      <c r="J14" s="500">
        <v>258</v>
      </c>
      <c r="K14" s="378">
        <v>893</v>
      </c>
      <c r="L14" s="378">
        <v>437</v>
      </c>
      <c r="M14" s="378">
        <v>694</v>
      </c>
      <c r="N14" s="500">
        <v>866</v>
      </c>
      <c r="O14" s="378">
        <v>97</v>
      </c>
      <c r="P14" s="378">
        <v>55</v>
      </c>
      <c r="Q14" s="378">
        <v>100</v>
      </c>
      <c r="R14" s="500">
        <v>130</v>
      </c>
      <c r="S14" s="377">
        <f>+C14+G14+K14+O14</f>
        <v>1618</v>
      </c>
      <c r="T14" s="378">
        <f>+D14+H14+L14+P14</f>
        <v>784</v>
      </c>
      <c r="U14" s="378">
        <f>+E14+I14+M14+Q14</f>
        <v>1226</v>
      </c>
      <c r="V14" s="500">
        <f t="shared" si="2"/>
        <v>1369</v>
      </c>
      <c r="W14" s="534"/>
      <c r="X14" s="534"/>
      <c r="Y14" s="534"/>
      <c r="Z14" s="534"/>
      <c r="AA14" s="534"/>
      <c r="AB14" s="534"/>
      <c r="AC14" s="534"/>
    </row>
    <row r="15" spans="1:29" s="515" customFormat="1" ht="18" customHeight="1">
      <c r="A15" s="499"/>
      <c r="B15" s="303" t="s">
        <v>1358</v>
      </c>
      <c r="C15" s="378"/>
      <c r="D15" s="378">
        <v>7</v>
      </c>
      <c r="E15" s="378">
        <v>14</v>
      </c>
      <c r="F15" s="500">
        <v>16</v>
      </c>
      <c r="G15" s="378"/>
      <c r="H15" s="378">
        <v>21</v>
      </c>
      <c r="I15" s="378">
        <v>15</v>
      </c>
      <c r="J15" s="500">
        <v>13</v>
      </c>
      <c r="K15" s="378"/>
      <c r="L15" s="378">
        <v>61</v>
      </c>
      <c r="M15" s="378">
        <v>29</v>
      </c>
      <c r="N15" s="500">
        <v>74</v>
      </c>
      <c r="O15" s="378"/>
      <c r="P15" s="378">
        <v>6</v>
      </c>
      <c r="Q15" s="378">
        <v>4</v>
      </c>
      <c r="R15" s="500">
        <v>12</v>
      </c>
      <c r="S15" s="377"/>
      <c r="T15" s="378">
        <f>+D15+H15+L15+P15</f>
        <v>95</v>
      </c>
      <c r="U15" s="378">
        <f>+E15+I15+M15+Q15</f>
        <v>62</v>
      </c>
      <c r="V15" s="500">
        <f t="shared" si="2"/>
        <v>115</v>
      </c>
      <c r="W15" s="534"/>
      <c r="X15" s="534"/>
      <c r="Y15" s="534"/>
      <c r="Z15" s="534"/>
      <c r="AA15" s="534"/>
      <c r="AB15" s="534"/>
      <c r="AC15" s="534"/>
    </row>
    <row r="16" spans="1:29" s="515" customFormat="1" ht="18" customHeight="1">
      <c r="A16" s="499"/>
      <c r="B16" s="303" t="s">
        <v>1359</v>
      </c>
      <c r="C16" s="378"/>
      <c r="D16" s="378">
        <v>15</v>
      </c>
      <c r="E16" s="378">
        <v>10</v>
      </c>
      <c r="F16" s="500">
        <v>6</v>
      </c>
      <c r="G16" s="378"/>
      <c r="H16" s="378">
        <v>28</v>
      </c>
      <c r="I16" s="378">
        <v>39</v>
      </c>
      <c r="J16" s="500">
        <v>16</v>
      </c>
      <c r="K16" s="378"/>
      <c r="L16" s="378">
        <v>117</v>
      </c>
      <c r="M16" s="378">
        <v>81</v>
      </c>
      <c r="N16" s="500">
        <v>86</v>
      </c>
      <c r="O16" s="378"/>
      <c r="P16" s="378">
        <v>13</v>
      </c>
      <c r="Q16" s="378">
        <v>5</v>
      </c>
      <c r="R16" s="500"/>
      <c r="S16" s="377"/>
      <c r="T16" s="378">
        <f>+D16+H16+L16+P16</f>
        <v>173</v>
      </c>
      <c r="U16" s="378">
        <f>+E16+I16+M16+Q16</f>
        <v>135</v>
      </c>
      <c r="V16" s="500">
        <f t="shared" si="2"/>
        <v>108</v>
      </c>
      <c r="W16" s="534"/>
      <c r="X16" s="534"/>
      <c r="Y16" s="534"/>
      <c r="Z16" s="534"/>
      <c r="AA16" s="534"/>
      <c r="AB16" s="534"/>
      <c r="AC16" s="534"/>
    </row>
    <row r="17" spans="1:29" s="515" customFormat="1" ht="18" customHeight="1">
      <c r="A17" s="499"/>
      <c r="B17" s="350" t="s">
        <v>690</v>
      </c>
      <c r="C17" s="378">
        <v>185</v>
      </c>
      <c r="D17" s="378">
        <v>130</v>
      </c>
      <c r="E17" s="378">
        <v>197</v>
      </c>
      <c r="F17" s="500">
        <f>SUM(F14:F16)</f>
        <v>137</v>
      </c>
      <c r="G17" s="378">
        <v>443</v>
      </c>
      <c r="H17" s="378">
        <v>233</v>
      </c>
      <c r="I17" s="378">
        <v>313</v>
      </c>
      <c r="J17" s="500">
        <f>SUM(J14:J16)</f>
        <v>287</v>
      </c>
      <c r="K17" s="378">
        <v>893</v>
      </c>
      <c r="L17" s="378">
        <v>615</v>
      </c>
      <c r="M17" s="378">
        <v>804</v>
      </c>
      <c r="N17" s="500">
        <f>SUM(N14:N16)</f>
        <v>1026</v>
      </c>
      <c r="O17" s="378">
        <v>97</v>
      </c>
      <c r="P17" s="378">
        <v>74</v>
      </c>
      <c r="Q17" s="378">
        <v>109</v>
      </c>
      <c r="R17" s="500">
        <f>SUM(R14:R16)</f>
        <v>142</v>
      </c>
      <c r="S17" s="377">
        <f t="shared" ref="S17:U19" si="3">+C17+G17+K17+O17</f>
        <v>1618</v>
      </c>
      <c r="T17" s="378">
        <f t="shared" si="3"/>
        <v>1052</v>
      </c>
      <c r="U17" s="378">
        <f t="shared" si="3"/>
        <v>1423</v>
      </c>
      <c r="V17" s="500">
        <f>SUM(V14:V16)</f>
        <v>1592</v>
      </c>
      <c r="W17" s="534"/>
      <c r="X17" s="534"/>
      <c r="Y17" s="534"/>
      <c r="Z17" s="534"/>
      <c r="AA17" s="534"/>
      <c r="AB17" s="534"/>
      <c r="AC17" s="534"/>
    </row>
    <row r="18" spans="1:29" s="515" customFormat="1" ht="18" customHeight="1">
      <c r="A18" s="499" t="s">
        <v>1023</v>
      </c>
      <c r="B18" s="303" t="s">
        <v>892</v>
      </c>
      <c r="C18" s="378">
        <v>244</v>
      </c>
      <c r="D18" s="378">
        <v>206</v>
      </c>
      <c r="E18" s="378">
        <v>165</v>
      </c>
      <c r="F18" s="500">
        <v>145</v>
      </c>
      <c r="G18" s="378">
        <v>350</v>
      </c>
      <c r="H18" s="378">
        <v>319</v>
      </c>
      <c r="I18" s="378">
        <v>251</v>
      </c>
      <c r="J18" s="500">
        <v>232</v>
      </c>
      <c r="K18" s="378">
        <v>1019</v>
      </c>
      <c r="L18" s="378">
        <v>1103</v>
      </c>
      <c r="M18" s="378">
        <v>804</v>
      </c>
      <c r="N18" s="500">
        <v>833</v>
      </c>
      <c r="O18" s="378">
        <v>266</v>
      </c>
      <c r="P18" s="378">
        <v>201</v>
      </c>
      <c r="Q18" s="378">
        <v>199</v>
      </c>
      <c r="R18" s="500">
        <v>203</v>
      </c>
      <c r="S18" s="377">
        <f t="shared" si="3"/>
        <v>1879</v>
      </c>
      <c r="T18" s="378">
        <f t="shared" si="3"/>
        <v>1829</v>
      </c>
      <c r="U18" s="378">
        <f t="shared" si="3"/>
        <v>1419</v>
      </c>
      <c r="V18" s="500">
        <f t="shared" si="2"/>
        <v>1413</v>
      </c>
      <c r="W18" s="534"/>
      <c r="X18" s="534"/>
      <c r="Y18" s="534"/>
      <c r="Z18" s="534"/>
      <c r="AA18" s="534"/>
      <c r="AB18" s="534"/>
      <c r="AC18" s="534"/>
    </row>
    <row r="19" spans="1:29" s="515" customFormat="1" ht="18" customHeight="1">
      <c r="A19" s="499"/>
      <c r="B19" s="303" t="s">
        <v>1361</v>
      </c>
      <c r="C19" s="378"/>
      <c r="D19" s="378">
        <v>16</v>
      </c>
      <c r="E19" s="378">
        <v>11</v>
      </c>
      <c r="F19" s="500">
        <v>3</v>
      </c>
      <c r="G19" s="378"/>
      <c r="H19" s="378">
        <v>14</v>
      </c>
      <c r="I19" s="378">
        <v>27</v>
      </c>
      <c r="J19" s="500">
        <v>32</v>
      </c>
      <c r="K19" s="378"/>
      <c r="L19" s="378">
        <v>33</v>
      </c>
      <c r="M19" s="378">
        <v>55</v>
      </c>
      <c r="N19" s="500">
        <v>49</v>
      </c>
      <c r="O19" s="378"/>
      <c r="P19" s="378">
        <v>14</v>
      </c>
      <c r="Q19" s="378">
        <v>23</v>
      </c>
      <c r="R19" s="500">
        <v>29</v>
      </c>
      <c r="S19" s="377"/>
      <c r="T19" s="378">
        <f t="shared" si="3"/>
        <v>77</v>
      </c>
      <c r="U19" s="378">
        <f t="shared" si="3"/>
        <v>116</v>
      </c>
      <c r="V19" s="500">
        <f t="shared" si="2"/>
        <v>113</v>
      </c>
      <c r="W19" s="534"/>
      <c r="X19" s="534"/>
      <c r="Y19" s="534"/>
      <c r="Z19" s="534"/>
      <c r="AA19" s="534"/>
      <c r="AB19" s="534"/>
      <c r="AC19" s="534"/>
    </row>
    <row r="20" spans="1:29" s="515" customFormat="1" ht="18" customHeight="1">
      <c r="A20" s="499"/>
      <c r="B20" s="350" t="s">
        <v>690</v>
      </c>
      <c r="C20" s="378">
        <v>244</v>
      </c>
      <c r="D20" s="378">
        <v>222</v>
      </c>
      <c r="E20" s="378">
        <v>176</v>
      </c>
      <c r="F20" s="500">
        <f>SUM(F18:F19)</f>
        <v>148</v>
      </c>
      <c r="G20" s="378">
        <v>350</v>
      </c>
      <c r="H20" s="378">
        <v>333</v>
      </c>
      <c r="I20" s="378">
        <v>278</v>
      </c>
      <c r="J20" s="500">
        <f>SUM(J18:J19)</f>
        <v>264</v>
      </c>
      <c r="K20" s="378">
        <v>1019</v>
      </c>
      <c r="L20" s="378">
        <v>1136</v>
      </c>
      <c r="M20" s="378">
        <v>859</v>
      </c>
      <c r="N20" s="500">
        <f>SUM(N18:N19)</f>
        <v>882</v>
      </c>
      <c r="O20" s="378">
        <v>266</v>
      </c>
      <c r="P20" s="378">
        <v>215</v>
      </c>
      <c r="Q20" s="378">
        <v>222</v>
      </c>
      <c r="R20" s="500">
        <f>SUM(R18:R19)</f>
        <v>232</v>
      </c>
      <c r="S20" s="377">
        <f t="shared" ref="S20:U21" si="4">+C20+G20+K20+O20</f>
        <v>1879</v>
      </c>
      <c r="T20" s="378">
        <f t="shared" si="4"/>
        <v>1906</v>
      </c>
      <c r="U20" s="378">
        <f t="shared" si="4"/>
        <v>1535</v>
      </c>
      <c r="V20" s="500">
        <f>SUM(V18:V19)</f>
        <v>1526</v>
      </c>
      <c r="W20" s="534"/>
      <c r="X20" s="534"/>
      <c r="Y20" s="534"/>
      <c r="Z20" s="534"/>
      <c r="AA20" s="534"/>
      <c r="AB20" s="534"/>
      <c r="AC20" s="534"/>
    </row>
    <row r="21" spans="1:29" s="515" customFormat="1" ht="18" customHeight="1">
      <c r="A21" s="499" t="s">
        <v>578</v>
      </c>
      <c r="B21" s="350" t="s">
        <v>893</v>
      </c>
      <c r="C21" s="378">
        <v>275</v>
      </c>
      <c r="D21" s="378">
        <v>395</v>
      </c>
      <c r="E21" s="378">
        <v>410</v>
      </c>
      <c r="F21" s="500">
        <v>371</v>
      </c>
      <c r="G21" s="378">
        <v>138</v>
      </c>
      <c r="H21" s="378">
        <v>258</v>
      </c>
      <c r="I21" s="378">
        <v>567</v>
      </c>
      <c r="J21" s="500">
        <v>514</v>
      </c>
      <c r="K21" s="378">
        <v>283</v>
      </c>
      <c r="L21" s="378">
        <v>378</v>
      </c>
      <c r="M21" s="378">
        <v>1272</v>
      </c>
      <c r="N21" s="500">
        <v>1344</v>
      </c>
      <c r="O21" s="378">
        <v>36</v>
      </c>
      <c r="P21" s="378">
        <v>35</v>
      </c>
      <c r="Q21" s="378">
        <v>126</v>
      </c>
      <c r="R21" s="500">
        <v>147</v>
      </c>
      <c r="S21" s="377">
        <f t="shared" si="4"/>
        <v>732</v>
      </c>
      <c r="T21" s="378">
        <f t="shared" si="4"/>
        <v>1066</v>
      </c>
      <c r="U21" s="378">
        <f t="shared" si="4"/>
        <v>2375</v>
      </c>
      <c r="V21" s="500">
        <f>+F21+J21+N21+R21</f>
        <v>2376</v>
      </c>
      <c r="W21" s="534"/>
      <c r="X21" s="534"/>
      <c r="Y21" s="534"/>
      <c r="Z21" s="534"/>
      <c r="AA21" s="534"/>
      <c r="AB21" s="534"/>
      <c r="AC21" s="534"/>
    </row>
    <row r="22" spans="1:29" s="515" customFormat="1" ht="18" customHeight="1">
      <c r="A22" s="509" t="s">
        <v>1024</v>
      </c>
      <c r="B22" s="518"/>
      <c r="C22" s="507">
        <v>1547</v>
      </c>
      <c r="D22" s="507">
        <v>1383</v>
      </c>
      <c r="E22" s="507">
        <v>1461</v>
      </c>
      <c r="F22" s="508">
        <f>+F13+F17+F20+F21</f>
        <v>1285</v>
      </c>
      <c r="G22" s="507">
        <v>2636</v>
      </c>
      <c r="H22" s="507">
        <v>2329</v>
      </c>
      <c r="I22" s="507">
        <v>2368</v>
      </c>
      <c r="J22" s="508">
        <f>+J13+J17+J20+J21</f>
        <v>2419</v>
      </c>
      <c r="K22" s="507">
        <v>6443</v>
      </c>
      <c r="L22" s="507">
        <v>5802</v>
      </c>
      <c r="M22" s="507">
        <v>5831</v>
      </c>
      <c r="N22" s="508">
        <f>+N13+N17+N20+N21</f>
        <v>6408</v>
      </c>
      <c r="O22" s="507">
        <v>1139</v>
      </c>
      <c r="P22" s="507">
        <v>1051</v>
      </c>
      <c r="Q22" s="507">
        <v>1063</v>
      </c>
      <c r="R22" s="508">
        <f>+R13+R17+R20+R21</f>
        <v>1139</v>
      </c>
      <c r="S22" s="506">
        <f>+S13+S17+S20+S21</f>
        <v>11765</v>
      </c>
      <c r="T22" s="507">
        <f>+T13+T17+T20+T21</f>
        <v>10565</v>
      </c>
      <c r="U22" s="507">
        <f>+U13+U17+U20+U21</f>
        <v>10723</v>
      </c>
      <c r="V22" s="508">
        <f>+V13+V17+V20+V21</f>
        <v>11251</v>
      </c>
      <c r="W22" s="534"/>
      <c r="X22" s="534"/>
      <c r="Y22" s="534"/>
      <c r="Z22" s="534"/>
      <c r="AA22" s="534"/>
      <c r="AB22" s="534"/>
      <c r="AC22" s="534"/>
    </row>
    <row r="23" spans="1:29" s="515" customFormat="1" ht="18" customHeight="1">
      <c r="A23" s="499"/>
      <c r="B23" s="350" t="s">
        <v>1040</v>
      </c>
      <c r="C23" s="378"/>
      <c r="D23" s="378"/>
      <c r="E23" s="378"/>
      <c r="F23" s="500"/>
      <c r="G23" s="378"/>
      <c r="H23" s="378"/>
      <c r="I23" s="378"/>
      <c r="J23" s="500"/>
      <c r="K23" s="378"/>
      <c r="L23" s="378"/>
      <c r="M23" s="378"/>
      <c r="N23" s="500"/>
      <c r="O23" s="378"/>
      <c r="P23" s="378"/>
      <c r="Q23" s="378"/>
      <c r="R23" s="500"/>
      <c r="S23" s="377">
        <f t="shared" ref="S23:S40" si="5">+C23+G23+K23+O23</f>
        <v>0</v>
      </c>
      <c r="T23" s="378">
        <f>+D23+H23+L23+P23</f>
        <v>0</v>
      </c>
      <c r="U23" s="378">
        <f>+E23+I23+M23+Q23</f>
        <v>0</v>
      </c>
      <c r="V23" s="500">
        <f t="shared" si="2"/>
        <v>0</v>
      </c>
      <c r="W23" s="534"/>
      <c r="X23" s="534"/>
      <c r="Y23" s="534"/>
      <c r="Z23" s="534"/>
      <c r="AA23" s="534"/>
      <c r="AB23" s="534"/>
      <c r="AC23" s="534"/>
    </row>
    <row r="24" spans="1:29" s="515" customFormat="1" ht="18" customHeight="1">
      <c r="A24" s="499" t="s">
        <v>1025</v>
      </c>
      <c r="B24" s="350" t="s">
        <v>895</v>
      </c>
      <c r="C24" s="378">
        <v>737</v>
      </c>
      <c r="D24" s="378">
        <v>508</v>
      </c>
      <c r="E24" s="378">
        <v>415</v>
      </c>
      <c r="F24" s="500">
        <v>466</v>
      </c>
      <c r="G24" s="378">
        <v>1031</v>
      </c>
      <c r="H24" s="378">
        <v>770</v>
      </c>
      <c r="I24" s="378">
        <v>566</v>
      </c>
      <c r="J24" s="500">
        <v>862</v>
      </c>
      <c r="K24" s="378">
        <v>2387</v>
      </c>
      <c r="L24" s="378">
        <v>2367</v>
      </c>
      <c r="M24" s="378">
        <v>1958</v>
      </c>
      <c r="N24" s="500">
        <v>2243</v>
      </c>
      <c r="O24" s="378">
        <v>600</v>
      </c>
      <c r="P24" s="378">
        <v>716</v>
      </c>
      <c r="Q24" s="378">
        <v>635</v>
      </c>
      <c r="R24" s="500">
        <v>774</v>
      </c>
      <c r="S24" s="377">
        <f t="shared" si="5"/>
        <v>4755</v>
      </c>
      <c r="T24" s="378">
        <f t="shared" ref="T24:T41" si="6">+D24+H24+L24+P24</f>
        <v>4361</v>
      </c>
      <c r="U24" s="378">
        <f t="shared" ref="U24:U41" si="7">+E24+I24+M24+Q24</f>
        <v>3574</v>
      </c>
      <c r="V24" s="500">
        <f>+F24+J24+N24+R24</f>
        <v>4345</v>
      </c>
      <c r="W24" s="534"/>
      <c r="X24" s="534"/>
      <c r="Y24" s="534"/>
      <c r="Z24" s="534"/>
      <c r="AA24" s="534"/>
      <c r="AB24" s="534"/>
      <c r="AC24" s="534"/>
    </row>
    <row r="25" spans="1:29" s="515" customFormat="1" ht="18" customHeight="1">
      <c r="A25" s="499"/>
      <c r="B25" s="350" t="s">
        <v>896</v>
      </c>
      <c r="C25" s="378">
        <v>872</v>
      </c>
      <c r="D25" s="378">
        <v>933</v>
      </c>
      <c r="E25" s="378">
        <v>966</v>
      </c>
      <c r="F25" s="500">
        <v>1025</v>
      </c>
      <c r="G25" s="378">
        <v>1425</v>
      </c>
      <c r="H25" s="378">
        <v>2194</v>
      </c>
      <c r="I25" s="378">
        <v>1775</v>
      </c>
      <c r="J25" s="500">
        <v>1455</v>
      </c>
      <c r="K25" s="378">
        <v>3815</v>
      </c>
      <c r="L25" s="378">
        <v>5614</v>
      </c>
      <c r="M25" s="378">
        <v>4800</v>
      </c>
      <c r="N25" s="500">
        <v>3154</v>
      </c>
      <c r="O25" s="378">
        <v>650</v>
      </c>
      <c r="P25" s="378">
        <v>1371</v>
      </c>
      <c r="Q25" s="378">
        <v>1354</v>
      </c>
      <c r="R25" s="500">
        <v>662</v>
      </c>
      <c r="S25" s="377">
        <f t="shared" si="5"/>
        <v>6762</v>
      </c>
      <c r="T25" s="378">
        <f t="shared" si="6"/>
        <v>10112</v>
      </c>
      <c r="U25" s="378">
        <f t="shared" si="7"/>
        <v>8895</v>
      </c>
      <c r="V25" s="500">
        <f>+F25+J25+N25+R25</f>
        <v>6296</v>
      </c>
      <c r="W25" s="534"/>
      <c r="X25" s="534"/>
      <c r="Y25" s="534"/>
      <c r="Z25" s="534"/>
      <c r="AA25" s="534"/>
      <c r="AB25" s="534"/>
      <c r="AC25" s="534"/>
    </row>
    <row r="26" spans="1:29" s="515" customFormat="1" ht="18" customHeight="1">
      <c r="A26" s="499"/>
      <c r="B26" s="350" t="s">
        <v>586</v>
      </c>
      <c r="C26" s="378">
        <v>22</v>
      </c>
      <c r="D26" s="378">
        <v>27</v>
      </c>
      <c r="E26" s="378">
        <v>24</v>
      </c>
      <c r="F26" s="500">
        <v>76</v>
      </c>
      <c r="G26" s="378">
        <v>48</v>
      </c>
      <c r="H26" s="378">
        <v>45</v>
      </c>
      <c r="I26" s="378">
        <v>111</v>
      </c>
      <c r="J26" s="500">
        <v>132</v>
      </c>
      <c r="K26" s="378">
        <v>135</v>
      </c>
      <c r="L26" s="378">
        <v>141</v>
      </c>
      <c r="M26" s="378">
        <v>324</v>
      </c>
      <c r="N26" s="500">
        <v>315</v>
      </c>
      <c r="O26" s="378">
        <v>36</v>
      </c>
      <c r="P26" s="378">
        <v>73</v>
      </c>
      <c r="Q26" s="378">
        <v>61</v>
      </c>
      <c r="R26" s="500">
        <v>66</v>
      </c>
      <c r="S26" s="377">
        <f>+C26+G26+K26+O26</f>
        <v>241</v>
      </c>
      <c r="T26" s="378">
        <f>+D26+H26+L26+P26</f>
        <v>286</v>
      </c>
      <c r="U26" s="378">
        <f>+E26+I26+M26+Q26</f>
        <v>520</v>
      </c>
      <c r="V26" s="500">
        <f>+F26+J26+N26+R26</f>
        <v>589</v>
      </c>
      <c r="W26" s="534"/>
      <c r="X26" s="534"/>
      <c r="Y26" s="534"/>
      <c r="Z26" s="534"/>
      <c r="AA26" s="534"/>
      <c r="AB26" s="534"/>
      <c r="AC26" s="534"/>
    </row>
    <row r="27" spans="1:29" s="515" customFormat="1" ht="18" customHeight="1">
      <c r="A27" s="499"/>
      <c r="B27" s="350" t="s">
        <v>897</v>
      </c>
      <c r="C27" s="378">
        <v>90</v>
      </c>
      <c r="D27" s="378">
        <v>226</v>
      </c>
      <c r="E27" s="378">
        <v>135</v>
      </c>
      <c r="F27" s="500">
        <v>143</v>
      </c>
      <c r="G27" s="378">
        <v>178</v>
      </c>
      <c r="H27" s="378">
        <v>351</v>
      </c>
      <c r="I27" s="378">
        <v>239</v>
      </c>
      <c r="J27" s="500">
        <v>260</v>
      </c>
      <c r="K27" s="378">
        <v>593</v>
      </c>
      <c r="L27" s="378">
        <v>1340</v>
      </c>
      <c r="M27" s="378">
        <v>979</v>
      </c>
      <c r="N27" s="500">
        <v>750</v>
      </c>
      <c r="O27" s="378">
        <v>114</v>
      </c>
      <c r="P27" s="378">
        <v>350</v>
      </c>
      <c r="Q27" s="378">
        <v>208</v>
      </c>
      <c r="R27" s="500">
        <v>207</v>
      </c>
      <c r="S27" s="377">
        <f t="shared" si="5"/>
        <v>975</v>
      </c>
      <c r="T27" s="378">
        <f t="shared" si="6"/>
        <v>2267</v>
      </c>
      <c r="U27" s="378">
        <f t="shared" si="7"/>
        <v>1561</v>
      </c>
      <c r="V27" s="500">
        <f>+F27+J27+N27+R27</f>
        <v>1360</v>
      </c>
      <c r="W27" s="534"/>
      <c r="X27" s="534"/>
      <c r="Y27" s="534"/>
      <c r="Z27" s="534"/>
      <c r="AA27" s="534"/>
      <c r="AB27" s="534"/>
      <c r="AC27" s="534"/>
    </row>
    <row r="28" spans="1:29" s="515" customFormat="1" ht="18" customHeight="1">
      <c r="A28" s="499"/>
      <c r="B28" s="350" t="s">
        <v>690</v>
      </c>
      <c r="C28" s="378">
        <v>1721</v>
      </c>
      <c r="D28" s="378">
        <v>1694</v>
      </c>
      <c r="E28" s="378">
        <v>1540</v>
      </c>
      <c r="F28" s="500">
        <f>SUM(F23:F27)</f>
        <v>1710</v>
      </c>
      <c r="G28" s="378">
        <v>2682</v>
      </c>
      <c r="H28" s="378">
        <v>3360</v>
      </c>
      <c r="I28" s="378">
        <v>2691</v>
      </c>
      <c r="J28" s="500">
        <f>SUM(J23:J27)</f>
        <v>2709</v>
      </c>
      <c r="K28" s="378">
        <v>6930</v>
      </c>
      <c r="L28" s="378">
        <v>9462</v>
      </c>
      <c r="M28" s="378">
        <v>8061</v>
      </c>
      <c r="N28" s="500">
        <f t="shared" ref="N28:V28" si="8">SUM(N23:N27)</f>
        <v>6462</v>
      </c>
      <c r="O28" s="378">
        <v>1400</v>
      </c>
      <c r="P28" s="378">
        <v>2510</v>
      </c>
      <c r="Q28" s="378">
        <v>2258</v>
      </c>
      <c r="R28" s="500">
        <f t="shared" si="8"/>
        <v>1709</v>
      </c>
      <c r="S28" s="377">
        <f t="shared" si="8"/>
        <v>12733</v>
      </c>
      <c r="T28" s="378">
        <f t="shared" si="8"/>
        <v>17026</v>
      </c>
      <c r="U28" s="378">
        <f t="shared" si="8"/>
        <v>14550</v>
      </c>
      <c r="V28" s="500">
        <f t="shared" si="8"/>
        <v>12590</v>
      </c>
      <c r="W28" s="534"/>
      <c r="X28" s="534"/>
      <c r="Y28" s="534"/>
      <c r="Z28" s="534"/>
      <c r="AA28" s="534"/>
      <c r="AB28" s="534"/>
      <c r="AC28" s="534"/>
    </row>
    <row r="29" spans="1:29" s="515" customFormat="1" ht="18" customHeight="1">
      <c r="A29" s="499" t="s">
        <v>581</v>
      </c>
      <c r="B29" s="350" t="s">
        <v>898</v>
      </c>
      <c r="C29" s="378">
        <v>402</v>
      </c>
      <c r="D29" s="378">
        <v>375</v>
      </c>
      <c r="E29" s="378">
        <v>361</v>
      </c>
      <c r="F29" s="500">
        <v>224</v>
      </c>
      <c r="G29" s="378">
        <v>483</v>
      </c>
      <c r="H29" s="378">
        <v>486</v>
      </c>
      <c r="I29" s="378">
        <v>495</v>
      </c>
      <c r="J29" s="500">
        <v>372</v>
      </c>
      <c r="K29" s="378">
        <v>1547</v>
      </c>
      <c r="L29" s="378">
        <v>1260</v>
      </c>
      <c r="M29" s="378">
        <v>1164</v>
      </c>
      <c r="N29" s="500">
        <v>1110</v>
      </c>
      <c r="O29" s="378">
        <v>428</v>
      </c>
      <c r="P29" s="378">
        <v>294</v>
      </c>
      <c r="Q29" s="378">
        <v>356</v>
      </c>
      <c r="R29" s="500">
        <v>246</v>
      </c>
      <c r="S29" s="377">
        <f t="shared" si="5"/>
        <v>2860</v>
      </c>
      <c r="T29" s="378">
        <f t="shared" si="6"/>
        <v>2415</v>
      </c>
      <c r="U29" s="378">
        <f t="shared" si="7"/>
        <v>2376</v>
      </c>
      <c r="V29" s="500">
        <f>+F29+J29+N29+R29</f>
        <v>1952</v>
      </c>
      <c r="W29" s="534"/>
      <c r="X29" s="534"/>
      <c r="Y29" s="534"/>
      <c r="Z29" s="534"/>
      <c r="AA29" s="534"/>
      <c r="AB29" s="534"/>
      <c r="AC29" s="534"/>
    </row>
    <row r="30" spans="1:29" s="515" customFormat="1" ht="18" customHeight="1">
      <c r="A30" s="499"/>
      <c r="B30" s="303" t="s">
        <v>1351</v>
      </c>
      <c r="C30" s="378"/>
      <c r="D30" s="378">
        <v>25</v>
      </c>
      <c r="E30" s="378">
        <v>27</v>
      </c>
      <c r="F30" s="500">
        <v>23</v>
      </c>
      <c r="G30" s="378"/>
      <c r="H30" s="378">
        <v>54</v>
      </c>
      <c r="I30" s="378">
        <v>34</v>
      </c>
      <c r="J30" s="500">
        <v>26</v>
      </c>
      <c r="K30" s="378"/>
      <c r="L30" s="378">
        <v>152</v>
      </c>
      <c r="M30" s="378">
        <v>147</v>
      </c>
      <c r="N30" s="500">
        <v>140</v>
      </c>
      <c r="O30" s="378"/>
      <c r="P30" s="378">
        <v>82</v>
      </c>
      <c r="Q30" s="378">
        <v>122</v>
      </c>
      <c r="R30" s="500">
        <v>91</v>
      </c>
      <c r="S30" s="377"/>
      <c r="T30" s="378">
        <f t="shared" si="6"/>
        <v>313</v>
      </c>
      <c r="U30" s="378">
        <f t="shared" si="7"/>
        <v>330</v>
      </c>
      <c r="V30" s="500">
        <f>+F30+J30+N30+R30</f>
        <v>280</v>
      </c>
      <c r="W30" s="534"/>
      <c r="X30" s="534"/>
      <c r="Y30" s="534"/>
      <c r="Z30" s="534"/>
      <c r="AA30" s="534"/>
      <c r="AB30" s="534"/>
      <c r="AC30" s="534"/>
    </row>
    <row r="31" spans="1:29" s="515" customFormat="1" ht="18" customHeight="1">
      <c r="A31" s="499"/>
      <c r="B31" s="303" t="s">
        <v>1360</v>
      </c>
      <c r="C31" s="378">
        <v>20</v>
      </c>
      <c r="D31" s="378">
        <v>17</v>
      </c>
      <c r="E31" s="378">
        <v>33</v>
      </c>
      <c r="F31" s="500">
        <v>19</v>
      </c>
      <c r="G31" s="378">
        <v>59</v>
      </c>
      <c r="H31" s="378">
        <v>54</v>
      </c>
      <c r="I31" s="378">
        <v>71</v>
      </c>
      <c r="J31" s="500">
        <v>54</v>
      </c>
      <c r="K31" s="378">
        <v>446</v>
      </c>
      <c r="L31" s="378">
        <v>258</v>
      </c>
      <c r="M31" s="378">
        <v>281</v>
      </c>
      <c r="N31" s="500">
        <v>261</v>
      </c>
      <c r="O31" s="378">
        <v>60</v>
      </c>
      <c r="P31" s="378">
        <v>43</v>
      </c>
      <c r="Q31" s="378">
        <v>78</v>
      </c>
      <c r="R31" s="500">
        <v>71</v>
      </c>
      <c r="S31" s="377"/>
      <c r="T31" s="378">
        <f t="shared" si="6"/>
        <v>372</v>
      </c>
      <c r="U31" s="378">
        <f t="shared" si="7"/>
        <v>463</v>
      </c>
      <c r="V31" s="500">
        <f>+F31+J31+N31+R31</f>
        <v>405</v>
      </c>
      <c r="W31" s="534"/>
      <c r="X31" s="534"/>
      <c r="Y31" s="534"/>
      <c r="Z31" s="534"/>
      <c r="AA31" s="534"/>
      <c r="AB31" s="534"/>
      <c r="AC31" s="534"/>
    </row>
    <row r="32" spans="1:29" s="515" customFormat="1" ht="18" customHeight="1">
      <c r="A32" s="499"/>
      <c r="B32" s="350" t="s">
        <v>1026</v>
      </c>
      <c r="C32" s="378">
        <v>292</v>
      </c>
      <c r="D32" s="378">
        <v>332</v>
      </c>
      <c r="E32" s="378">
        <v>278</v>
      </c>
      <c r="F32" s="500">
        <v>243</v>
      </c>
      <c r="G32" s="378">
        <v>1018</v>
      </c>
      <c r="H32" s="378">
        <v>1293</v>
      </c>
      <c r="I32" s="378">
        <v>1266</v>
      </c>
      <c r="J32" s="500">
        <v>1014</v>
      </c>
      <c r="K32" s="378">
        <v>3339</v>
      </c>
      <c r="L32" s="378">
        <v>2669</v>
      </c>
      <c r="M32" s="378">
        <v>2099</v>
      </c>
      <c r="N32" s="500">
        <v>2113</v>
      </c>
      <c r="O32" s="378">
        <v>297</v>
      </c>
      <c r="P32" s="378">
        <v>309</v>
      </c>
      <c r="Q32" s="378">
        <v>231</v>
      </c>
      <c r="R32" s="500">
        <v>281</v>
      </c>
      <c r="S32" s="377">
        <f t="shared" si="5"/>
        <v>4946</v>
      </c>
      <c r="T32" s="378">
        <f t="shared" si="6"/>
        <v>4603</v>
      </c>
      <c r="U32" s="378">
        <f t="shared" si="7"/>
        <v>3874</v>
      </c>
      <c r="V32" s="500">
        <f>+F32+J32+N32+R32</f>
        <v>3651</v>
      </c>
      <c r="W32" s="534"/>
      <c r="X32" s="534"/>
      <c r="Y32" s="534"/>
      <c r="Z32" s="534"/>
      <c r="AA32" s="534"/>
      <c r="AB32" s="534"/>
      <c r="AC32" s="534"/>
    </row>
    <row r="33" spans="1:29" s="515" customFormat="1" ht="18" customHeight="1">
      <c r="A33" s="499"/>
      <c r="B33" s="350" t="s">
        <v>690</v>
      </c>
      <c r="C33" s="378">
        <v>714</v>
      </c>
      <c r="D33" s="378">
        <v>749</v>
      </c>
      <c r="E33" s="378">
        <v>699</v>
      </c>
      <c r="F33" s="500">
        <f>SUM(F29:F32)</f>
        <v>509</v>
      </c>
      <c r="G33" s="378">
        <v>1560</v>
      </c>
      <c r="H33" s="378">
        <v>1887</v>
      </c>
      <c r="I33" s="378">
        <v>1866</v>
      </c>
      <c r="J33" s="500">
        <f>SUM(J29:J32)</f>
        <v>1466</v>
      </c>
      <c r="K33" s="378">
        <v>5332</v>
      </c>
      <c r="L33" s="378">
        <v>4339</v>
      </c>
      <c r="M33" s="378">
        <v>3691</v>
      </c>
      <c r="N33" s="500">
        <f>SUM(N29:N32)</f>
        <v>3624</v>
      </c>
      <c r="O33" s="378">
        <v>785</v>
      </c>
      <c r="P33" s="378">
        <v>728</v>
      </c>
      <c r="Q33" s="378">
        <v>787</v>
      </c>
      <c r="R33" s="500">
        <f>SUM(R29:R32)</f>
        <v>689</v>
      </c>
      <c r="S33" s="377">
        <f>SUM(S29:S32)</f>
        <v>7806</v>
      </c>
      <c r="T33" s="378">
        <f>SUM(T29:T32)</f>
        <v>7703</v>
      </c>
      <c r="U33" s="378">
        <f>SUM(U29:U32)</f>
        <v>7043</v>
      </c>
      <c r="V33" s="500">
        <f>SUM(V29:V32)</f>
        <v>6288</v>
      </c>
      <c r="W33" s="534"/>
      <c r="X33" s="534"/>
      <c r="Y33" s="534"/>
      <c r="Z33" s="534"/>
      <c r="AA33" s="534"/>
      <c r="AB33" s="534"/>
      <c r="AC33" s="534"/>
    </row>
    <row r="34" spans="1:29" s="515" customFormat="1" ht="18" customHeight="1">
      <c r="A34" s="499" t="s">
        <v>582</v>
      </c>
      <c r="B34" s="303" t="s">
        <v>698</v>
      </c>
      <c r="C34" s="378">
        <v>194</v>
      </c>
      <c r="D34" s="378">
        <v>228</v>
      </c>
      <c r="E34" s="378">
        <v>176</v>
      </c>
      <c r="F34" s="500">
        <v>225</v>
      </c>
      <c r="G34" s="378">
        <v>261</v>
      </c>
      <c r="H34" s="378">
        <v>316</v>
      </c>
      <c r="I34" s="378">
        <v>368</v>
      </c>
      <c r="J34" s="500">
        <v>438</v>
      </c>
      <c r="K34" s="378">
        <v>1190</v>
      </c>
      <c r="L34" s="378">
        <v>1157</v>
      </c>
      <c r="M34" s="378">
        <v>1118</v>
      </c>
      <c r="N34" s="500">
        <v>1328</v>
      </c>
      <c r="O34" s="378">
        <v>272</v>
      </c>
      <c r="P34" s="378">
        <v>216</v>
      </c>
      <c r="Q34" s="378">
        <v>220</v>
      </c>
      <c r="R34" s="500">
        <v>242</v>
      </c>
      <c r="S34" s="377">
        <f t="shared" si="5"/>
        <v>1917</v>
      </c>
      <c r="T34" s="378">
        <f t="shared" si="6"/>
        <v>1917</v>
      </c>
      <c r="U34" s="378">
        <f t="shared" si="7"/>
        <v>1882</v>
      </c>
      <c r="V34" s="500">
        <f>+F34+J34+N34+R34</f>
        <v>2233</v>
      </c>
      <c r="W34" s="534"/>
      <c r="X34" s="534"/>
      <c r="Y34" s="534"/>
      <c r="Z34" s="534"/>
      <c r="AA34" s="534"/>
      <c r="AB34" s="534"/>
      <c r="AC34" s="534"/>
    </row>
    <row r="35" spans="1:29" s="515" customFormat="1" ht="18" customHeight="1">
      <c r="A35" s="499"/>
      <c r="B35" s="303" t="s">
        <v>900</v>
      </c>
      <c r="C35" s="378">
        <v>29</v>
      </c>
      <c r="D35" s="378">
        <v>56</v>
      </c>
      <c r="E35" s="378">
        <v>61</v>
      </c>
      <c r="F35" s="500">
        <v>44</v>
      </c>
      <c r="G35" s="378">
        <v>47</v>
      </c>
      <c r="H35" s="378">
        <v>84</v>
      </c>
      <c r="I35" s="378">
        <v>48</v>
      </c>
      <c r="J35" s="500">
        <v>61</v>
      </c>
      <c r="K35" s="378">
        <v>196</v>
      </c>
      <c r="L35" s="378">
        <v>330</v>
      </c>
      <c r="M35" s="378">
        <v>180</v>
      </c>
      <c r="N35" s="500">
        <v>214</v>
      </c>
      <c r="O35" s="378">
        <v>47</v>
      </c>
      <c r="P35" s="378">
        <v>63</v>
      </c>
      <c r="Q35" s="378">
        <v>56</v>
      </c>
      <c r="R35" s="500">
        <v>70</v>
      </c>
      <c r="S35" s="377">
        <f t="shared" si="5"/>
        <v>319</v>
      </c>
      <c r="T35" s="378">
        <f t="shared" si="6"/>
        <v>533</v>
      </c>
      <c r="U35" s="378">
        <f t="shared" si="7"/>
        <v>345</v>
      </c>
      <c r="V35" s="500">
        <f>+F35+J35+N35+R35</f>
        <v>389</v>
      </c>
      <c r="W35" s="534"/>
      <c r="X35" s="534"/>
      <c r="Y35" s="534"/>
      <c r="Z35" s="534"/>
      <c r="AA35" s="534"/>
      <c r="AB35" s="534"/>
      <c r="AC35" s="534"/>
    </row>
    <row r="36" spans="1:29" s="515" customFormat="1" ht="18" customHeight="1">
      <c r="A36" s="499"/>
      <c r="B36" s="303" t="s">
        <v>1352</v>
      </c>
      <c r="C36" s="378"/>
      <c r="D36" s="378">
        <v>30</v>
      </c>
      <c r="E36" s="378">
        <v>11</v>
      </c>
      <c r="F36" s="500">
        <v>13</v>
      </c>
      <c r="G36" s="378"/>
      <c r="H36" s="378">
        <v>19</v>
      </c>
      <c r="I36" s="378">
        <v>28</v>
      </c>
      <c r="J36" s="500">
        <v>33</v>
      </c>
      <c r="K36" s="378"/>
      <c r="L36" s="378">
        <v>129</v>
      </c>
      <c r="M36" s="378">
        <v>137</v>
      </c>
      <c r="N36" s="500">
        <v>82</v>
      </c>
      <c r="O36" s="378"/>
      <c r="P36" s="378">
        <v>44</v>
      </c>
      <c r="Q36" s="378">
        <v>30</v>
      </c>
      <c r="R36" s="500">
        <v>28</v>
      </c>
      <c r="S36" s="377"/>
      <c r="T36" s="378">
        <f t="shared" si="6"/>
        <v>222</v>
      </c>
      <c r="U36" s="378">
        <f t="shared" si="7"/>
        <v>206</v>
      </c>
      <c r="V36" s="500">
        <f>+F36+J36+N36+R36</f>
        <v>156</v>
      </c>
      <c r="W36" s="534"/>
      <c r="X36" s="534"/>
      <c r="Y36" s="534"/>
      <c r="Z36" s="534"/>
      <c r="AA36" s="534"/>
      <c r="AB36" s="534"/>
      <c r="AC36" s="534"/>
    </row>
    <row r="37" spans="1:29" s="515" customFormat="1" ht="18" customHeight="1">
      <c r="A37" s="499"/>
      <c r="B37" s="350" t="s">
        <v>690</v>
      </c>
      <c r="C37" s="378">
        <v>223</v>
      </c>
      <c r="D37" s="378">
        <v>314</v>
      </c>
      <c r="E37" s="378">
        <v>248</v>
      </c>
      <c r="F37" s="500">
        <f>SUM(F34:F36)</f>
        <v>282</v>
      </c>
      <c r="G37" s="378">
        <v>308</v>
      </c>
      <c r="H37" s="378">
        <v>419</v>
      </c>
      <c r="I37" s="378">
        <v>444</v>
      </c>
      <c r="J37" s="500">
        <f>SUM(J34:J36)</f>
        <v>532</v>
      </c>
      <c r="K37" s="378">
        <v>1386</v>
      </c>
      <c r="L37" s="378">
        <v>1616</v>
      </c>
      <c r="M37" s="378">
        <v>1435</v>
      </c>
      <c r="N37" s="500">
        <f>SUM(N34:N36)</f>
        <v>1624</v>
      </c>
      <c r="O37" s="378">
        <v>319</v>
      </c>
      <c r="P37" s="378">
        <v>323</v>
      </c>
      <c r="Q37" s="378">
        <v>306</v>
      </c>
      <c r="R37" s="500">
        <f>SUM(R34:R36)</f>
        <v>340</v>
      </c>
      <c r="S37" s="378">
        <f>SUM(S34:S36)</f>
        <v>2236</v>
      </c>
      <c r="T37" s="378">
        <f>SUM(T34:T36)</f>
        <v>2672</v>
      </c>
      <c r="U37" s="378">
        <f>SUM(U34:U36)</f>
        <v>2433</v>
      </c>
      <c r="V37" s="500">
        <f>SUM(V34:V36)</f>
        <v>2778</v>
      </c>
      <c r="W37" s="534"/>
      <c r="X37" s="534"/>
      <c r="Y37" s="534"/>
      <c r="Z37" s="534"/>
      <c r="AA37" s="534"/>
      <c r="AB37" s="534"/>
      <c r="AC37" s="534"/>
    </row>
    <row r="38" spans="1:29" s="515" customFormat="1" ht="18" customHeight="1">
      <c r="A38" s="499" t="s">
        <v>583</v>
      </c>
      <c r="B38" s="350" t="s">
        <v>901</v>
      </c>
      <c r="C38" s="378">
        <v>169</v>
      </c>
      <c r="D38" s="378">
        <v>127</v>
      </c>
      <c r="E38" s="378">
        <v>130</v>
      </c>
      <c r="F38" s="500">
        <v>171</v>
      </c>
      <c r="G38" s="378">
        <v>312</v>
      </c>
      <c r="H38" s="378">
        <v>197</v>
      </c>
      <c r="I38" s="378">
        <v>181</v>
      </c>
      <c r="J38" s="500">
        <v>245</v>
      </c>
      <c r="K38" s="378">
        <v>710</v>
      </c>
      <c r="L38" s="378">
        <v>549</v>
      </c>
      <c r="M38" s="378">
        <v>560</v>
      </c>
      <c r="N38" s="500">
        <v>566</v>
      </c>
      <c r="O38" s="378">
        <v>118</v>
      </c>
      <c r="P38" s="378">
        <v>87</v>
      </c>
      <c r="Q38" s="378">
        <v>147</v>
      </c>
      <c r="R38" s="500">
        <v>139</v>
      </c>
      <c r="S38" s="377">
        <f t="shared" si="5"/>
        <v>1309</v>
      </c>
      <c r="T38" s="378">
        <f t="shared" si="6"/>
        <v>960</v>
      </c>
      <c r="U38" s="378">
        <f t="shared" si="7"/>
        <v>1018</v>
      </c>
      <c r="V38" s="500">
        <f>+F38+J38+N38+R38</f>
        <v>1121</v>
      </c>
      <c r="W38" s="534"/>
      <c r="X38" s="534"/>
      <c r="Y38" s="534"/>
      <c r="Z38" s="534"/>
      <c r="AA38" s="534"/>
      <c r="AB38" s="534"/>
      <c r="AC38" s="534"/>
    </row>
    <row r="39" spans="1:29" s="515" customFormat="1" ht="18" customHeight="1">
      <c r="A39" s="499" t="s">
        <v>1027</v>
      </c>
      <c r="B39" s="350" t="s">
        <v>902</v>
      </c>
      <c r="C39" s="378">
        <v>508</v>
      </c>
      <c r="D39" s="378">
        <v>491</v>
      </c>
      <c r="E39" s="378">
        <v>452</v>
      </c>
      <c r="F39" s="500">
        <v>433</v>
      </c>
      <c r="G39" s="378">
        <v>651</v>
      </c>
      <c r="H39" s="378">
        <v>644</v>
      </c>
      <c r="I39" s="378">
        <v>441</v>
      </c>
      <c r="J39" s="500">
        <v>548</v>
      </c>
      <c r="K39" s="378">
        <v>1838</v>
      </c>
      <c r="L39" s="378">
        <v>1950</v>
      </c>
      <c r="M39" s="378">
        <v>1851</v>
      </c>
      <c r="N39" s="500">
        <v>1360</v>
      </c>
      <c r="O39" s="378">
        <v>268</v>
      </c>
      <c r="P39" s="378">
        <v>298</v>
      </c>
      <c r="Q39" s="378">
        <v>347</v>
      </c>
      <c r="R39" s="500">
        <v>328</v>
      </c>
      <c r="S39" s="377">
        <f t="shared" si="5"/>
        <v>3265</v>
      </c>
      <c r="T39" s="378">
        <f t="shared" si="6"/>
        <v>3383</v>
      </c>
      <c r="U39" s="378">
        <f t="shared" si="7"/>
        <v>3091</v>
      </c>
      <c r="V39" s="500">
        <f>+F39+J39+N39+R39</f>
        <v>2669</v>
      </c>
      <c r="W39" s="534"/>
      <c r="X39" s="534"/>
      <c r="Y39" s="534"/>
      <c r="Z39" s="534"/>
      <c r="AA39" s="534"/>
      <c r="AB39" s="534"/>
      <c r="AC39" s="534"/>
    </row>
    <row r="40" spans="1:29" s="515" customFormat="1" ht="18" customHeight="1">
      <c r="A40" s="499" t="s">
        <v>585</v>
      </c>
      <c r="B40" s="303" t="s">
        <v>903</v>
      </c>
      <c r="C40" s="378">
        <v>401</v>
      </c>
      <c r="D40" s="378">
        <v>318</v>
      </c>
      <c r="E40" s="378">
        <v>367</v>
      </c>
      <c r="F40" s="500">
        <v>356</v>
      </c>
      <c r="G40" s="378">
        <v>657</v>
      </c>
      <c r="H40" s="378">
        <v>579</v>
      </c>
      <c r="I40" s="378">
        <v>613</v>
      </c>
      <c r="J40" s="500">
        <v>596</v>
      </c>
      <c r="K40" s="378">
        <v>846</v>
      </c>
      <c r="L40" s="378">
        <v>842</v>
      </c>
      <c r="M40" s="378">
        <v>808</v>
      </c>
      <c r="N40" s="500">
        <v>1004</v>
      </c>
      <c r="O40" s="378">
        <v>219</v>
      </c>
      <c r="P40" s="378">
        <v>166</v>
      </c>
      <c r="Q40" s="378">
        <v>165</v>
      </c>
      <c r="R40" s="500">
        <v>148</v>
      </c>
      <c r="S40" s="377">
        <f t="shared" si="5"/>
        <v>2123</v>
      </c>
      <c r="T40" s="378">
        <f t="shared" si="6"/>
        <v>1905</v>
      </c>
      <c r="U40" s="378">
        <f t="shared" si="7"/>
        <v>1953</v>
      </c>
      <c r="V40" s="500">
        <f>+F40+J40+N40+R40</f>
        <v>2104</v>
      </c>
      <c r="W40" s="534"/>
      <c r="X40" s="534"/>
      <c r="Y40" s="534"/>
      <c r="Z40" s="534"/>
      <c r="AA40" s="534"/>
      <c r="AB40" s="534"/>
      <c r="AC40" s="534"/>
    </row>
    <row r="41" spans="1:29" s="515" customFormat="1" ht="18" customHeight="1">
      <c r="A41" s="499"/>
      <c r="B41" s="303" t="s">
        <v>1343</v>
      </c>
      <c r="C41" s="378"/>
      <c r="D41" s="378">
        <v>31</v>
      </c>
      <c r="E41" s="378">
        <v>63</v>
      </c>
      <c r="F41" s="500">
        <v>45</v>
      </c>
      <c r="G41" s="378"/>
      <c r="H41" s="378">
        <v>24</v>
      </c>
      <c r="I41" s="378">
        <v>46</v>
      </c>
      <c r="J41" s="500">
        <v>53</v>
      </c>
      <c r="K41" s="378"/>
      <c r="L41" s="378">
        <v>71</v>
      </c>
      <c r="M41" s="378">
        <v>109</v>
      </c>
      <c r="N41" s="500">
        <v>106</v>
      </c>
      <c r="O41" s="378"/>
      <c r="P41" s="378">
        <v>11</v>
      </c>
      <c r="Q41" s="378">
        <v>15</v>
      </c>
      <c r="R41" s="500">
        <v>8</v>
      </c>
      <c r="S41" s="377"/>
      <c r="T41" s="378">
        <f t="shared" si="6"/>
        <v>137</v>
      </c>
      <c r="U41" s="378">
        <f t="shared" si="7"/>
        <v>233</v>
      </c>
      <c r="V41" s="500">
        <f>+F41+J41+N41+R41</f>
        <v>212</v>
      </c>
      <c r="W41" s="534"/>
      <c r="X41" s="534"/>
      <c r="Y41" s="534"/>
      <c r="Z41" s="534"/>
      <c r="AA41" s="534"/>
      <c r="AB41" s="534"/>
      <c r="AC41" s="534"/>
    </row>
    <row r="42" spans="1:29" s="515" customFormat="1" ht="18" customHeight="1">
      <c r="A42" s="499"/>
      <c r="B42" s="350" t="s">
        <v>690</v>
      </c>
      <c r="C42" s="378">
        <v>401</v>
      </c>
      <c r="D42" s="378">
        <f>SUM(D40:D41)</f>
        <v>349</v>
      </c>
      <c r="E42" s="378">
        <f>SUM(E40:E41)</f>
        <v>430</v>
      </c>
      <c r="F42" s="500">
        <f>SUM(F40:F41)</f>
        <v>401</v>
      </c>
      <c r="G42" s="378">
        <v>657</v>
      </c>
      <c r="H42" s="378">
        <f t="shared" ref="H42:J42" si="9">SUM(H40:H41)</f>
        <v>603</v>
      </c>
      <c r="I42" s="378">
        <f t="shared" si="9"/>
        <v>659</v>
      </c>
      <c r="J42" s="500">
        <f t="shared" si="9"/>
        <v>649</v>
      </c>
      <c r="K42" s="378">
        <v>846</v>
      </c>
      <c r="L42" s="378">
        <f t="shared" ref="L42:N42" si="10">SUM(L40:L41)</f>
        <v>913</v>
      </c>
      <c r="M42" s="378">
        <f t="shared" si="10"/>
        <v>917</v>
      </c>
      <c r="N42" s="500">
        <f t="shared" si="10"/>
        <v>1110</v>
      </c>
      <c r="O42" s="378">
        <v>219</v>
      </c>
      <c r="P42" s="378">
        <f t="shared" ref="P42:R42" si="11">SUM(P40:P41)</f>
        <v>177</v>
      </c>
      <c r="Q42" s="378">
        <f t="shared" si="11"/>
        <v>180</v>
      </c>
      <c r="R42" s="500">
        <f t="shared" si="11"/>
        <v>156</v>
      </c>
      <c r="S42" s="378">
        <f t="shared" ref="S42:V42" si="12">SUM(S40:S41)</f>
        <v>2123</v>
      </c>
      <c r="T42" s="378">
        <f t="shared" si="12"/>
        <v>2042</v>
      </c>
      <c r="U42" s="378">
        <f t="shared" si="12"/>
        <v>2186</v>
      </c>
      <c r="V42" s="500">
        <f t="shared" si="12"/>
        <v>2316</v>
      </c>
      <c r="W42" s="534"/>
      <c r="X42" s="534"/>
      <c r="Y42" s="534"/>
      <c r="Z42" s="534"/>
      <c r="AA42" s="534"/>
      <c r="AB42" s="534"/>
      <c r="AC42" s="534"/>
    </row>
    <row r="43" spans="1:29" s="515" customFormat="1" ht="18" customHeight="1">
      <c r="A43" s="509" t="s">
        <v>1028</v>
      </c>
      <c r="B43" s="518"/>
      <c r="C43" s="507">
        <f>+C28+C33+C37+C38+C39+C42</f>
        <v>3736</v>
      </c>
      <c r="D43" s="507">
        <f>+D28+D33+D37+D38+D39+D42</f>
        <v>3724</v>
      </c>
      <c r="E43" s="507">
        <f>+E28+E33+E37+E38+E39+E42</f>
        <v>3499</v>
      </c>
      <c r="F43" s="508">
        <f>+F28+F33+F37+F38+F39+F42</f>
        <v>3506</v>
      </c>
      <c r="G43" s="507">
        <f t="shared" ref="G43:R43" si="13">+G28+G33+G37+G38+G39+G42</f>
        <v>6170</v>
      </c>
      <c r="H43" s="507">
        <f t="shared" si="13"/>
        <v>7110</v>
      </c>
      <c r="I43" s="507">
        <f t="shared" si="13"/>
        <v>6282</v>
      </c>
      <c r="J43" s="508">
        <f t="shared" si="13"/>
        <v>6149</v>
      </c>
      <c r="K43" s="507">
        <f t="shared" si="13"/>
        <v>17042</v>
      </c>
      <c r="L43" s="507">
        <f t="shared" si="13"/>
        <v>18829</v>
      </c>
      <c r="M43" s="507">
        <f t="shared" si="13"/>
        <v>16515</v>
      </c>
      <c r="N43" s="508">
        <f t="shared" si="13"/>
        <v>14746</v>
      </c>
      <c r="O43" s="507">
        <f t="shared" si="13"/>
        <v>3109</v>
      </c>
      <c r="P43" s="507">
        <f t="shared" si="13"/>
        <v>4123</v>
      </c>
      <c r="Q43" s="507">
        <f t="shared" si="13"/>
        <v>4025</v>
      </c>
      <c r="R43" s="508">
        <f t="shared" si="13"/>
        <v>3361</v>
      </c>
      <c r="S43" s="507">
        <f>+S28+S33+S37+S38+S39+S42</f>
        <v>29472</v>
      </c>
      <c r="T43" s="507">
        <f>+T28+T33+T37+T38+T39+T42</f>
        <v>33786</v>
      </c>
      <c r="U43" s="507">
        <f>+U28+U33+U37+U38+U39+U42</f>
        <v>30321</v>
      </c>
      <c r="V43" s="508">
        <f>+V28+V33+V37+V38+V39+V42</f>
        <v>27762</v>
      </c>
      <c r="W43" s="535"/>
      <c r="X43" s="533"/>
      <c r="Y43" s="535"/>
      <c r="Z43" s="533"/>
      <c r="AA43" s="535"/>
      <c r="AB43" s="534"/>
      <c r="AC43" s="534"/>
    </row>
    <row r="44" spans="1:29" s="515" customFormat="1" ht="18" customHeight="1">
      <c r="A44" s="1237" t="s">
        <v>706</v>
      </c>
      <c r="B44" s="1239"/>
      <c r="C44" s="510">
        <f t="shared" ref="C44:V44" si="14">+C22+C43</f>
        <v>5283</v>
      </c>
      <c r="D44" s="511">
        <f t="shared" si="14"/>
        <v>5107</v>
      </c>
      <c r="E44" s="511">
        <f t="shared" si="14"/>
        <v>4960</v>
      </c>
      <c r="F44" s="512">
        <f t="shared" si="14"/>
        <v>4791</v>
      </c>
      <c r="G44" s="511">
        <f t="shared" si="14"/>
        <v>8806</v>
      </c>
      <c r="H44" s="511">
        <f t="shared" si="14"/>
        <v>9439</v>
      </c>
      <c r="I44" s="511">
        <f t="shared" si="14"/>
        <v>8650</v>
      </c>
      <c r="J44" s="512">
        <f t="shared" si="14"/>
        <v>8568</v>
      </c>
      <c r="K44" s="511">
        <f t="shared" si="14"/>
        <v>23485</v>
      </c>
      <c r="L44" s="511">
        <f t="shared" si="14"/>
        <v>24631</v>
      </c>
      <c r="M44" s="511">
        <f t="shared" si="14"/>
        <v>22346</v>
      </c>
      <c r="N44" s="512">
        <f t="shared" si="14"/>
        <v>21154</v>
      </c>
      <c r="O44" s="511">
        <f t="shared" si="14"/>
        <v>4248</v>
      </c>
      <c r="P44" s="511">
        <f t="shared" si="14"/>
        <v>5174</v>
      </c>
      <c r="Q44" s="511">
        <f t="shared" si="14"/>
        <v>5088</v>
      </c>
      <c r="R44" s="512">
        <f t="shared" si="14"/>
        <v>4500</v>
      </c>
      <c r="S44" s="510">
        <f t="shared" si="14"/>
        <v>41237</v>
      </c>
      <c r="T44" s="511">
        <f t="shared" si="14"/>
        <v>44351</v>
      </c>
      <c r="U44" s="511">
        <f>+U22+U43</f>
        <v>41044</v>
      </c>
      <c r="V44" s="512">
        <f t="shared" si="14"/>
        <v>39013</v>
      </c>
      <c r="W44" s="519"/>
      <c r="X44" s="526"/>
      <c r="Y44" s="519"/>
      <c r="Z44" s="533"/>
      <c r="AA44" s="519"/>
    </row>
    <row r="45" spans="1:29" s="515" customFormat="1" ht="18" customHeight="1">
      <c r="C45" s="525"/>
      <c r="D45" s="525"/>
      <c r="E45" s="525"/>
      <c r="F45" s="525"/>
      <c r="G45" s="525"/>
      <c r="H45" s="525"/>
      <c r="I45" s="525"/>
      <c r="J45" s="525"/>
      <c r="K45" s="525"/>
      <c r="L45" s="525"/>
      <c r="M45" s="525"/>
      <c r="N45" s="525"/>
      <c r="O45" s="525"/>
      <c r="P45" s="525"/>
      <c r="Q45" s="525"/>
      <c r="R45" s="525"/>
      <c r="S45" s="525"/>
      <c r="T45" s="525"/>
      <c r="U45" s="525"/>
      <c r="V45" s="525"/>
      <c r="X45" s="525"/>
      <c r="Y45" s="525"/>
      <c r="Z45" s="525"/>
    </row>
    <row r="46" spans="1:29">
      <c r="B46" s="209"/>
      <c r="C46" s="529"/>
      <c r="D46" s="529"/>
      <c r="E46" s="529"/>
      <c r="F46" s="529"/>
      <c r="G46" s="529"/>
      <c r="H46" s="529"/>
      <c r="I46" s="529"/>
      <c r="J46" s="529"/>
      <c r="K46" s="529"/>
      <c r="L46" s="529"/>
      <c r="M46" s="529"/>
      <c r="N46" s="529"/>
      <c r="O46" s="529"/>
      <c r="P46" s="529"/>
      <c r="Q46" s="529"/>
      <c r="R46" s="529"/>
      <c r="S46" s="529"/>
      <c r="T46" s="529"/>
      <c r="U46" s="529"/>
      <c r="V46" s="529"/>
      <c r="W46" s="529"/>
      <c r="X46" s="529"/>
    </row>
    <row r="47" spans="1:29">
      <c r="B47" s="209"/>
      <c r="C47" s="529"/>
      <c r="D47" s="529"/>
      <c r="E47" s="529"/>
      <c r="F47" s="529"/>
      <c r="G47" s="529"/>
      <c r="H47" s="529"/>
      <c r="I47" s="529"/>
      <c r="J47" s="529"/>
      <c r="K47" s="529"/>
      <c r="L47" s="529"/>
      <c r="M47" s="529"/>
      <c r="N47" s="529"/>
      <c r="O47" s="529"/>
      <c r="P47" s="529"/>
      <c r="Q47" s="529"/>
      <c r="R47" s="529"/>
      <c r="S47" s="529"/>
      <c r="T47" s="529"/>
      <c r="U47" s="529"/>
      <c r="V47" s="529"/>
      <c r="W47" s="529"/>
    </row>
    <row r="48" spans="1:29">
      <c r="C48" s="529"/>
      <c r="D48" s="529"/>
      <c r="E48" s="529"/>
      <c r="F48" s="529"/>
      <c r="G48" s="529"/>
      <c r="H48" s="529"/>
      <c r="I48" s="529"/>
      <c r="J48" s="529"/>
      <c r="K48" s="529"/>
      <c r="L48" s="529"/>
      <c r="M48" s="529"/>
      <c r="N48" s="529"/>
      <c r="O48" s="529"/>
      <c r="P48" s="529"/>
      <c r="Q48" s="529"/>
      <c r="R48" s="529"/>
      <c r="S48" s="529"/>
      <c r="T48" s="529"/>
      <c r="U48" s="529"/>
      <c r="V48" s="529"/>
    </row>
    <row r="49" spans="3:22">
      <c r="C49" s="529"/>
      <c r="D49" s="529"/>
      <c r="E49" s="529"/>
      <c r="F49" s="529"/>
      <c r="G49" s="529"/>
      <c r="H49" s="529"/>
      <c r="I49" s="529"/>
      <c r="J49" s="529"/>
      <c r="K49" s="529"/>
      <c r="L49" s="529"/>
      <c r="M49" s="529"/>
      <c r="N49" s="529"/>
      <c r="O49" s="529"/>
      <c r="P49" s="529"/>
      <c r="Q49" s="529"/>
      <c r="R49" s="529"/>
      <c r="S49" s="529"/>
      <c r="T49" s="529"/>
      <c r="U49" s="529"/>
      <c r="V49" s="529"/>
    </row>
    <row r="50" spans="3:22">
      <c r="C50" s="529"/>
      <c r="D50" s="529"/>
      <c r="E50" s="529"/>
      <c r="F50" s="529"/>
      <c r="G50" s="529"/>
      <c r="H50" s="529"/>
      <c r="I50" s="529"/>
      <c r="J50" s="529"/>
      <c r="K50" s="529"/>
      <c r="L50" s="529"/>
      <c r="M50" s="529"/>
      <c r="N50" s="529"/>
      <c r="O50" s="529"/>
      <c r="P50" s="529"/>
      <c r="Q50" s="529"/>
      <c r="R50" s="529"/>
      <c r="S50" s="529"/>
      <c r="T50" s="529"/>
      <c r="U50" s="529"/>
      <c r="V50" s="529"/>
    </row>
    <row r="51" spans="3:22">
      <c r="C51" s="529"/>
      <c r="D51" s="529"/>
      <c r="E51" s="529"/>
      <c r="F51" s="529"/>
      <c r="G51" s="529"/>
      <c r="H51" s="529"/>
      <c r="I51" s="529"/>
      <c r="J51" s="529"/>
      <c r="K51" s="529"/>
      <c r="L51" s="529"/>
      <c r="M51" s="529"/>
      <c r="N51" s="529"/>
      <c r="O51" s="529"/>
      <c r="P51" s="529"/>
      <c r="Q51" s="529"/>
      <c r="R51" s="529"/>
      <c r="S51" s="529"/>
      <c r="T51" s="529"/>
      <c r="U51" s="529"/>
      <c r="V51" s="529"/>
    </row>
    <row r="52" spans="3:22">
      <c r="C52" s="529"/>
      <c r="D52" s="529"/>
      <c r="E52" s="529"/>
      <c r="F52" s="529"/>
      <c r="G52" s="529"/>
      <c r="H52" s="529"/>
      <c r="I52" s="529"/>
      <c r="J52" s="529"/>
      <c r="K52" s="529"/>
      <c r="L52" s="529"/>
      <c r="M52" s="529"/>
      <c r="N52" s="529"/>
      <c r="O52" s="529"/>
      <c r="P52" s="529"/>
      <c r="Q52" s="529"/>
      <c r="R52" s="529"/>
      <c r="S52" s="529"/>
      <c r="T52" s="529"/>
      <c r="U52" s="529"/>
      <c r="V52" s="529"/>
    </row>
  </sheetData>
  <mergeCells count="9">
    <mergeCell ref="O6:R6"/>
    <mergeCell ref="S6:V6"/>
    <mergeCell ref="A44:B44"/>
    <mergeCell ref="A1:V1"/>
    <mergeCell ref="A2:V2"/>
    <mergeCell ref="A3:V3"/>
    <mergeCell ref="C6:F6"/>
    <mergeCell ref="G6:J6"/>
    <mergeCell ref="K6:N6"/>
  </mergeCells>
  <phoneticPr fontId="19" type="noConversion"/>
  <pageMargins left="1.5748031496062993" right="0.78740157480314965" top="1.1811023622047245" bottom="0.59055118110236227" header="0" footer="0"/>
  <pageSetup paperSize="5" scale="70" orientation="landscape" horizontalDpi="300" verticalDpi="300" r:id="rId1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31"/>
  <sheetViews>
    <sheetView topLeftCell="T25" workbookViewId="0">
      <selection activeCell="AI28" sqref="AI28"/>
    </sheetView>
  </sheetViews>
  <sheetFormatPr baseColWidth="10" defaultRowHeight="12"/>
  <cols>
    <col min="1" max="1" width="12.7109375" style="406" customWidth="1"/>
    <col min="2" max="2" width="17.85546875" style="406" customWidth="1"/>
    <col min="3" max="22" width="7.140625" style="406" customWidth="1"/>
    <col min="23" max="23" width="6.42578125" style="406" customWidth="1"/>
    <col min="24" max="24" width="7.42578125" style="406" customWidth="1"/>
    <col min="25" max="25" width="6.5703125" style="406" customWidth="1"/>
    <col min="26" max="33" width="6.28515625" style="406" customWidth="1"/>
    <col min="34" max="59" width="7.140625" style="406" customWidth="1"/>
    <col min="60" max="16384" width="11.42578125" style="406"/>
  </cols>
  <sheetData>
    <row r="1" spans="1:37">
      <c r="A1" s="1225" t="s">
        <v>1041</v>
      </c>
      <c r="B1" s="1225"/>
      <c r="C1" s="1225"/>
      <c r="D1" s="1225"/>
      <c r="E1" s="1225"/>
      <c r="F1" s="1225"/>
      <c r="G1" s="1225"/>
      <c r="H1" s="1225"/>
      <c r="I1" s="1225"/>
      <c r="J1" s="1225"/>
      <c r="K1" s="1225"/>
      <c r="L1" s="1225"/>
      <c r="M1" s="1225"/>
      <c r="N1" s="1225"/>
      <c r="O1" s="1225"/>
      <c r="P1" s="1225"/>
      <c r="Q1" s="1225"/>
      <c r="R1" s="1225"/>
      <c r="S1" s="1225"/>
      <c r="T1" s="1225"/>
      <c r="U1" s="1225"/>
      <c r="V1" s="1225"/>
      <c r="W1" s="1225"/>
      <c r="X1" s="1225"/>
      <c r="Y1" s="1225"/>
      <c r="Z1" s="1225"/>
      <c r="AA1" s="1225"/>
      <c r="AB1" s="1225"/>
      <c r="AC1" s="1225"/>
      <c r="AD1" s="1225"/>
      <c r="AE1" s="1225"/>
      <c r="AF1" s="1225"/>
      <c r="AG1" s="1225"/>
      <c r="AH1" s="1225"/>
      <c r="AI1" s="1225"/>
      <c r="AJ1" s="1225"/>
      <c r="AK1" s="1225"/>
    </row>
    <row r="2" spans="1:37">
      <c r="A2" s="1225" t="s">
        <v>1466</v>
      </c>
      <c r="B2" s="1241"/>
      <c r="C2" s="1241"/>
      <c r="D2" s="1241"/>
      <c r="E2" s="1241"/>
      <c r="F2" s="1241"/>
      <c r="G2" s="1241"/>
      <c r="H2" s="1241"/>
      <c r="I2" s="1241"/>
      <c r="J2" s="1241"/>
      <c r="K2" s="1241"/>
      <c r="L2" s="1241"/>
      <c r="M2" s="1241"/>
      <c r="N2" s="1241"/>
      <c r="O2" s="1241"/>
      <c r="P2" s="1241"/>
      <c r="Q2" s="1241"/>
      <c r="R2" s="1241"/>
      <c r="S2" s="1241"/>
      <c r="T2" s="1241"/>
      <c r="U2" s="1241"/>
      <c r="V2" s="1241"/>
      <c r="W2" s="1241"/>
      <c r="X2" s="1241"/>
      <c r="Y2" s="1241"/>
      <c r="Z2" s="1241"/>
      <c r="AA2" s="1241"/>
      <c r="AB2" s="1241"/>
      <c r="AC2" s="1241"/>
      <c r="AD2" s="1241"/>
      <c r="AE2" s="1241"/>
      <c r="AF2" s="1241"/>
      <c r="AG2" s="1241"/>
      <c r="AH2" s="1241"/>
      <c r="AI2" s="1241"/>
      <c r="AJ2" s="1241"/>
      <c r="AK2" s="1241"/>
    </row>
    <row r="3" spans="1:37">
      <c r="A3" s="1241" t="str">
        <f>+'56'!A3:V3</f>
        <v>2011 - 2014</v>
      </c>
      <c r="B3" s="1241"/>
      <c r="C3" s="1241"/>
      <c r="D3" s="1241"/>
      <c r="E3" s="1241"/>
      <c r="F3" s="1241"/>
      <c r="G3" s="1241"/>
      <c r="H3" s="1241"/>
      <c r="I3" s="1241"/>
      <c r="J3" s="1241"/>
      <c r="K3" s="1241"/>
      <c r="L3" s="1241"/>
      <c r="M3" s="1241"/>
      <c r="N3" s="1241"/>
      <c r="O3" s="1241"/>
      <c r="P3" s="1241"/>
      <c r="Q3" s="1241"/>
      <c r="R3" s="1241"/>
      <c r="S3" s="1241"/>
      <c r="T3" s="1241"/>
      <c r="U3" s="1241"/>
      <c r="V3" s="1241"/>
      <c r="W3" s="1241"/>
      <c r="X3" s="1241"/>
      <c r="Y3" s="1241"/>
      <c r="Z3" s="1241"/>
      <c r="AA3" s="1241"/>
      <c r="AB3" s="1241"/>
      <c r="AC3" s="1241"/>
      <c r="AD3" s="1241"/>
      <c r="AE3" s="1241"/>
      <c r="AF3" s="1241"/>
      <c r="AG3" s="1241"/>
      <c r="AH3" s="1241"/>
      <c r="AI3" s="1241"/>
      <c r="AJ3" s="1241"/>
      <c r="AK3" s="1241"/>
    </row>
    <row r="6" spans="1:37" s="515" customFormat="1" ht="20.25" customHeight="1">
      <c r="A6" s="473" t="s">
        <v>590</v>
      </c>
      <c r="B6" s="514" t="s">
        <v>926</v>
      </c>
      <c r="C6" s="1217" t="s">
        <v>1035</v>
      </c>
      <c r="D6" s="1217"/>
      <c r="E6" s="1217"/>
      <c r="F6" s="1217"/>
      <c r="G6" s="1220" t="s">
        <v>1036</v>
      </c>
      <c r="H6" s="1221"/>
      <c r="I6" s="1217"/>
      <c r="J6" s="1222"/>
      <c r="K6" s="1221" t="s">
        <v>1042</v>
      </c>
      <c r="L6" s="1221"/>
      <c r="M6" s="1221"/>
      <c r="N6" s="1221"/>
      <c r="O6" s="1220" t="s">
        <v>1037</v>
      </c>
      <c r="P6" s="1221"/>
      <c r="Q6" s="1221"/>
      <c r="R6" s="1222"/>
      <c r="S6" s="1221" t="s">
        <v>1043</v>
      </c>
      <c r="T6" s="1221"/>
      <c r="U6" s="1221"/>
      <c r="V6" s="1222"/>
      <c r="W6" s="1221" t="s">
        <v>1044</v>
      </c>
      <c r="X6" s="1221"/>
      <c r="Y6" s="1221"/>
      <c r="Z6" s="1221"/>
      <c r="AA6" s="1242" t="s">
        <v>1045</v>
      </c>
      <c r="AB6" s="1243"/>
      <c r="AC6" s="1243"/>
      <c r="AD6" s="1244"/>
      <c r="AE6" s="1245" t="s">
        <v>1441</v>
      </c>
      <c r="AF6" s="1246"/>
      <c r="AG6" s="1247"/>
      <c r="AH6" s="1220" t="s">
        <v>571</v>
      </c>
      <c r="AI6" s="1221"/>
      <c r="AJ6" s="1221"/>
      <c r="AK6" s="1222"/>
    </row>
    <row r="7" spans="1:37" s="515" customFormat="1" ht="20.25" customHeight="1">
      <c r="A7" s="495"/>
      <c r="B7" s="495"/>
      <c r="C7" s="385">
        <f>+'56'!C7</f>
        <v>2011</v>
      </c>
      <c r="D7" s="386">
        <f>+'56'!D7</f>
        <v>2012</v>
      </c>
      <c r="E7" s="386">
        <f>+'56'!E7</f>
        <v>2013</v>
      </c>
      <c r="F7" s="387">
        <f>+'56'!F7</f>
        <v>2014</v>
      </c>
      <c r="G7" s="386">
        <f>+'56'!G7</f>
        <v>2011</v>
      </c>
      <c r="H7" s="386">
        <f>+'56'!H7</f>
        <v>2012</v>
      </c>
      <c r="I7" s="386">
        <f>+'56'!I7</f>
        <v>2013</v>
      </c>
      <c r="J7" s="386">
        <f>+'56'!J7</f>
        <v>2014</v>
      </c>
      <c r="K7" s="385">
        <f>+'56'!K7</f>
        <v>2011</v>
      </c>
      <c r="L7" s="386">
        <f>+'56'!L7</f>
        <v>2012</v>
      </c>
      <c r="M7" s="386">
        <f>+'56'!M7</f>
        <v>2013</v>
      </c>
      <c r="N7" s="387">
        <f>+'56'!N7</f>
        <v>2014</v>
      </c>
      <c r="O7" s="386">
        <f>+'56'!K7</f>
        <v>2011</v>
      </c>
      <c r="P7" s="386">
        <f>+'56'!L7</f>
        <v>2012</v>
      </c>
      <c r="Q7" s="386">
        <f>+'56'!M7</f>
        <v>2013</v>
      </c>
      <c r="R7" s="386">
        <f>+'56'!N7</f>
        <v>2014</v>
      </c>
      <c r="S7" s="385">
        <f>+'56'!O7</f>
        <v>2011</v>
      </c>
      <c r="T7" s="386">
        <f>+'56'!P7</f>
        <v>2012</v>
      </c>
      <c r="U7" s="386">
        <f>+'56'!Q7</f>
        <v>2013</v>
      </c>
      <c r="V7" s="387">
        <f>+'56'!R7</f>
        <v>2014</v>
      </c>
      <c r="W7" s="386">
        <f>+'56'!S7</f>
        <v>2011</v>
      </c>
      <c r="X7" s="386">
        <f>+'56'!T7</f>
        <v>2012</v>
      </c>
      <c r="Y7" s="386">
        <f>+'56'!U7</f>
        <v>2013</v>
      </c>
      <c r="Z7" s="387">
        <f>+'56'!V7</f>
        <v>2014</v>
      </c>
      <c r="AA7" s="536">
        <f>+W7</f>
        <v>2011</v>
      </c>
      <c r="AB7" s="1069">
        <f>+X7</f>
        <v>2012</v>
      </c>
      <c r="AC7" s="1069">
        <f>+Y7</f>
        <v>2013</v>
      </c>
      <c r="AD7" s="537">
        <f>+Z7</f>
        <v>2014</v>
      </c>
      <c r="AE7" s="1069">
        <v>2012</v>
      </c>
      <c r="AF7" s="1069">
        <v>2013</v>
      </c>
      <c r="AG7" s="1069">
        <v>2014</v>
      </c>
      <c r="AH7" s="385">
        <f>+W7</f>
        <v>2011</v>
      </c>
      <c r="AI7" s="386">
        <f>+X7</f>
        <v>2012</v>
      </c>
      <c r="AJ7" s="386">
        <f>+Y7</f>
        <v>2013</v>
      </c>
      <c r="AK7" s="387">
        <f>+Z7</f>
        <v>2014</v>
      </c>
    </row>
    <row r="8" spans="1:37" s="515" customFormat="1" ht="20.25" customHeight="1">
      <c r="A8" s="513" t="s">
        <v>1022</v>
      </c>
      <c r="B8" s="514" t="s">
        <v>1046</v>
      </c>
      <c r="C8" s="378">
        <v>3258</v>
      </c>
      <c r="D8" s="378">
        <v>3833</v>
      </c>
      <c r="E8" s="378">
        <v>2825</v>
      </c>
      <c r="F8" s="500">
        <f>+'[4]23'!$E$12</f>
        <v>3390</v>
      </c>
      <c r="G8" s="378">
        <v>2163</v>
      </c>
      <c r="H8" s="378">
        <v>2726</v>
      </c>
      <c r="I8" s="378">
        <v>2099</v>
      </c>
      <c r="J8" s="500">
        <f>+'[4]23'!$E$13</f>
        <v>2187</v>
      </c>
      <c r="K8" s="378"/>
      <c r="L8" s="378"/>
      <c r="M8" s="378"/>
      <c r="N8" s="500"/>
      <c r="O8" s="378">
        <v>8872</v>
      </c>
      <c r="P8" s="378">
        <v>10319</v>
      </c>
      <c r="Q8" s="378">
        <v>8420</v>
      </c>
      <c r="R8" s="500">
        <f>+'[4]23'!$E$14</f>
        <v>8982</v>
      </c>
      <c r="S8" s="378">
        <v>4449</v>
      </c>
      <c r="T8" s="378">
        <v>4933</v>
      </c>
      <c r="U8" s="378">
        <v>4695</v>
      </c>
      <c r="V8" s="500">
        <f>+'[4]23'!$E$15</f>
        <v>4912</v>
      </c>
      <c r="W8" s="378">
        <v>480</v>
      </c>
      <c r="X8" s="378">
        <v>1165</v>
      </c>
      <c r="Y8" s="378">
        <v>956</v>
      </c>
      <c r="Z8" s="500">
        <f>+'[4]23'!$E$20</f>
        <v>1017</v>
      </c>
      <c r="AA8" s="377">
        <v>57</v>
      </c>
      <c r="AB8" s="378">
        <v>53</v>
      </c>
      <c r="AC8" s="378">
        <v>102</v>
      </c>
      <c r="AD8" s="500">
        <f>+'[4]23'!$E$21</f>
        <v>113</v>
      </c>
      <c r="AE8" s="378"/>
      <c r="AF8" s="378"/>
      <c r="AG8" s="378"/>
      <c r="AH8" s="377">
        <f t="shared" ref="AH8:AK9" si="0">+C8+G8+K8+O8+S8+W8+AA8</f>
        <v>19279</v>
      </c>
      <c r="AI8" s="378">
        <f t="shared" si="0"/>
        <v>23029</v>
      </c>
      <c r="AJ8" s="378">
        <f t="shared" si="0"/>
        <v>19097</v>
      </c>
      <c r="AK8" s="500">
        <f t="shared" si="0"/>
        <v>20601</v>
      </c>
    </row>
    <row r="9" spans="1:37" s="515" customFormat="1" ht="20.25" customHeight="1">
      <c r="A9" s="499"/>
      <c r="B9" s="350" t="s">
        <v>1047</v>
      </c>
      <c r="C9" s="378">
        <v>5748</v>
      </c>
      <c r="D9" s="378">
        <v>5979</v>
      </c>
      <c r="E9" s="378">
        <v>4009</v>
      </c>
      <c r="F9" s="500">
        <f>+'[4]23'!$F$12</f>
        <v>3244</v>
      </c>
      <c r="G9" s="378">
        <v>2947</v>
      </c>
      <c r="H9" s="378">
        <v>2836</v>
      </c>
      <c r="I9" s="378">
        <v>1821</v>
      </c>
      <c r="J9" s="500">
        <f>+'[4]23'!$F$13</f>
        <v>1235</v>
      </c>
      <c r="K9" s="378"/>
      <c r="L9" s="378"/>
      <c r="M9" s="378"/>
      <c r="N9" s="500"/>
      <c r="O9" s="378">
        <v>12932</v>
      </c>
      <c r="P9" s="378">
        <v>13083</v>
      </c>
      <c r="Q9" s="378">
        <v>9430</v>
      </c>
      <c r="R9" s="500">
        <f>+'[4]23'!$F$14</f>
        <v>7677</v>
      </c>
      <c r="S9" s="378">
        <v>4811</v>
      </c>
      <c r="T9" s="378">
        <v>5367</v>
      </c>
      <c r="U9" s="378">
        <v>4311</v>
      </c>
      <c r="V9" s="500">
        <f>+'[4]23'!$F$15</f>
        <v>3912</v>
      </c>
      <c r="W9" s="378">
        <v>993</v>
      </c>
      <c r="X9" s="378">
        <v>1417</v>
      </c>
      <c r="Y9" s="378">
        <v>1696</v>
      </c>
      <c r="Z9" s="500">
        <f>+'[4]23'!$F$20</f>
        <v>1849</v>
      </c>
      <c r="AA9" s="377">
        <v>112</v>
      </c>
      <c r="AB9" s="378">
        <v>30</v>
      </c>
      <c r="AC9" s="378">
        <v>3</v>
      </c>
      <c r="AD9" s="500">
        <f>+'[4]23'!$F$21</f>
        <v>0</v>
      </c>
      <c r="AE9" s="378"/>
      <c r="AF9" s="378"/>
      <c r="AG9" s="378"/>
      <c r="AH9" s="377">
        <f t="shared" si="0"/>
        <v>27543</v>
      </c>
      <c r="AI9" s="378">
        <f t="shared" si="0"/>
        <v>28712</v>
      </c>
      <c r="AJ9" s="378">
        <f t="shared" si="0"/>
        <v>21270</v>
      </c>
      <c r="AK9" s="500">
        <f t="shared" si="0"/>
        <v>17917</v>
      </c>
    </row>
    <row r="10" spans="1:37" s="515" customFormat="1" ht="20.25" customHeight="1">
      <c r="A10" s="499"/>
      <c r="B10" s="350" t="s">
        <v>690</v>
      </c>
      <c r="C10" s="378">
        <v>9006</v>
      </c>
      <c r="D10" s="378">
        <v>9812</v>
      </c>
      <c r="E10" s="378">
        <v>6834</v>
      </c>
      <c r="F10" s="500">
        <f>SUM(F8:F9)</f>
        <v>6634</v>
      </c>
      <c r="G10" s="378">
        <v>5110</v>
      </c>
      <c r="H10" s="378">
        <v>5562</v>
      </c>
      <c r="I10" s="378">
        <v>3920</v>
      </c>
      <c r="J10" s="500">
        <f>SUM(J8:J9)</f>
        <v>3422</v>
      </c>
      <c r="K10" s="378">
        <f>SUM(K8:K9)</f>
        <v>0</v>
      </c>
      <c r="L10" s="378">
        <f>SUM(L8:L9)</f>
        <v>0</v>
      </c>
      <c r="M10" s="378">
        <f>SUM(M8:M9)</f>
        <v>0</v>
      </c>
      <c r="N10" s="500">
        <f>SUM(N8:N9)</f>
        <v>0</v>
      </c>
      <c r="O10" s="378">
        <v>21804</v>
      </c>
      <c r="P10" s="378">
        <v>23402</v>
      </c>
      <c r="Q10" s="378">
        <v>17850</v>
      </c>
      <c r="R10" s="500">
        <f>SUM(R8:R9)</f>
        <v>16659</v>
      </c>
      <c r="S10" s="378">
        <v>9260</v>
      </c>
      <c r="T10" s="378">
        <v>10300</v>
      </c>
      <c r="U10" s="378">
        <v>9006</v>
      </c>
      <c r="V10" s="500">
        <f>SUM(V8:V9)</f>
        <v>8824</v>
      </c>
      <c r="W10" s="378">
        <v>1473</v>
      </c>
      <c r="X10" s="378">
        <v>2582</v>
      </c>
      <c r="Y10" s="378">
        <v>2652</v>
      </c>
      <c r="Z10" s="500">
        <f>SUM(Z8:Z9)</f>
        <v>2866</v>
      </c>
      <c r="AA10" s="377">
        <v>169</v>
      </c>
      <c r="AB10" s="378">
        <v>83</v>
      </c>
      <c r="AC10" s="378">
        <v>105</v>
      </c>
      <c r="AD10" s="500">
        <f>SUM(AD8:AD9)</f>
        <v>113</v>
      </c>
      <c r="AE10" s="378"/>
      <c r="AF10" s="378"/>
      <c r="AG10" s="378"/>
      <c r="AH10" s="377">
        <f>SUM(AH8:AH9)</f>
        <v>46822</v>
      </c>
      <c r="AI10" s="378">
        <f>SUM(AI8:AI9)</f>
        <v>51741</v>
      </c>
      <c r="AJ10" s="378">
        <f>SUM(AJ8:AJ9)</f>
        <v>40367</v>
      </c>
      <c r="AK10" s="500">
        <f>SUM(AK8:AK9)</f>
        <v>38518</v>
      </c>
    </row>
    <row r="11" spans="1:37" s="515" customFormat="1" ht="20.25" customHeight="1">
      <c r="A11" s="499" t="s">
        <v>576</v>
      </c>
      <c r="B11" s="350" t="s">
        <v>1048</v>
      </c>
      <c r="C11" s="378">
        <v>6130</v>
      </c>
      <c r="D11" s="378">
        <v>3485</v>
      </c>
      <c r="E11" s="378">
        <v>3030</v>
      </c>
      <c r="F11" s="500">
        <f>+'[4]23'!$I$12</f>
        <v>3281</v>
      </c>
      <c r="G11" s="378">
        <v>3533</v>
      </c>
      <c r="H11" s="378">
        <v>2147</v>
      </c>
      <c r="I11" s="378">
        <v>1773</v>
      </c>
      <c r="J11" s="500">
        <f>+'[4]23'!$I$13</f>
        <v>2180</v>
      </c>
      <c r="K11" s="378"/>
      <c r="L11" s="378"/>
      <c r="M11" s="378"/>
      <c r="N11" s="500"/>
      <c r="O11" s="378">
        <v>12344</v>
      </c>
      <c r="P11" s="378">
        <v>8541</v>
      </c>
      <c r="Q11" s="378">
        <v>6874</v>
      </c>
      <c r="R11" s="500">
        <f>+'[4]23'!$I$14</f>
        <v>8281</v>
      </c>
      <c r="S11" s="378">
        <v>3504</v>
      </c>
      <c r="T11" s="378">
        <v>2733</v>
      </c>
      <c r="U11" s="378">
        <v>2342</v>
      </c>
      <c r="V11" s="500">
        <f>+'[4]23'!$I$15</f>
        <v>2769</v>
      </c>
      <c r="W11" s="378">
        <v>260</v>
      </c>
      <c r="X11" s="378">
        <v>235</v>
      </c>
      <c r="Y11" s="378">
        <v>275</v>
      </c>
      <c r="Z11" s="500">
        <f>+'[4]23'!$I$20</f>
        <v>589</v>
      </c>
      <c r="AA11" s="377">
        <v>1167</v>
      </c>
      <c r="AB11" s="378">
        <v>153</v>
      </c>
      <c r="AC11" s="378"/>
      <c r="AD11" s="500">
        <f>+'[4]23'!$I$21</f>
        <v>40</v>
      </c>
      <c r="AE11" s="378"/>
      <c r="AF11" s="378"/>
      <c r="AG11" s="378">
        <v>92</v>
      </c>
      <c r="AH11" s="377">
        <f t="shared" ref="AH11:AK13" si="1">+C11+G11+K11+O11+S11+W11+AA11</f>
        <v>26938</v>
      </c>
      <c r="AI11" s="378">
        <f t="shared" si="1"/>
        <v>17294</v>
      </c>
      <c r="AJ11" s="378">
        <f t="shared" si="1"/>
        <v>14294</v>
      </c>
      <c r="AK11" s="500">
        <f>+F11+J11+N11+R11+V11+Z11+AD11+AG11</f>
        <v>17232</v>
      </c>
    </row>
    <row r="12" spans="1:37" s="515" customFormat="1" ht="20.25" customHeight="1">
      <c r="A12" s="499" t="s">
        <v>1023</v>
      </c>
      <c r="B12" s="350" t="s">
        <v>1049</v>
      </c>
      <c r="C12" s="378">
        <v>3241</v>
      </c>
      <c r="D12" s="378">
        <v>2987</v>
      </c>
      <c r="E12" s="378">
        <v>2292</v>
      </c>
      <c r="F12" s="500">
        <f>+'[4]23'!$G$12</f>
        <v>2954</v>
      </c>
      <c r="G12" s="378">
        <v>1637</v>
      </c>
      <c r="H12" s="378">
        <v>1422</v>
      </c>
      <c r="I12" s="378">
        <v>1073</v>
      </c>
      <c r="J12" s="500">
        <f>+'[4]23'!$G$13</f>
        <v>1572</v>
      </c>
      <c r="K12" s="378"/>
      <c r="L12" s="378"/>
      <c r="M12" s="378"/>
      <c r="N12" s="500"/>
      <c r="O12" s="378">
        <v>6058</v>
      </c>
      <c r="P12" s="378">
        <v>6029</v>
      </c>
      <c r="Q12" s="378">
        <v>5014</v>
      </c>
      <c r="R12" s="500">
        <f>+'[4]23'!$G$14</f>
        <v>6909</v>
      </c>
      <c r="S12" s="378">
        <v>2330</v>
      </c>
      <c r="T12" s="378">
        <v>2118</v>
      </c>
      <c r="U12" s="378">
        <v>1757</v>
      </c>
      <c r="V12" s="500">
        <f>+'[4]23'!$G$15</f>
        <v>2482</v>
      </c>
      <c r="W12" s="378">
        <v>341</v>
      </c>
      <c r="X12" s="378">
        <v>333</v>
      </c>
      <c r="Y12" s="378">
        <v>137</v>
      </c>
      <c r="Z12" s="500">
        <f>+'[4]23'!$G$20</f>
        <v>165</v>
      </c>
      <c r="AA12" s="377"/>
      <c r="AB12" s="378"/>
      <c r="AC12" s="378"/>
      <c r="AD12" s="500"/>
      <c r="AE12" s="378"/>
      <c r="AF12" s="378"/>
      <c r="AG12" s="378"/>
      <c r="AH12" s="377">
        <f t="shared" si="1"/>
        <v>13607</v>
      </c>
      <c r="AI12" s="378">
        <f t="shared" si="1"/>
        <v>12889</v>
      </c>
      <c r="AJ12" s="378">
        <f t="shared" si="1"/>
        <v>10273</v>
      </c>
      <c r="AK12" s="500">
        <f t="shared" si="1"/>
        <v>14082</v>
      </c>
    </row>
    <row r="13" spans="1:37" s="515" customFormat="1" ht="20.25" customHeight="1">
      <c r="A13" s="499" t="s">
        <v>578</v>
      </c>
      <c r="B13" s="350" t="s">
        <v>1050</v>
      </c>
      <c r="C13" s="378">
        <v>3351</v>
      </c>
      <c r="D13" s="378">
        <v>3614</v>
      </c>
      <c r="E13" s="378">
        <v>4050</v>
      </c>
      <c r="F13" s="500">
        <f>+'[4]23'!$H$12</f>
        <v>3022</v>
      </c>
      <c r="G13" s="378">
        <v>1869</v>
      </c>
      <c r="H13" s="378">
        <v>1749</v>
      </c>
      <c r="I13" s="378">
        <v>1879</v>
      </c>
      <c r="J13" s="500">
        <f>+'[4]23'!$H$13</f>
        <v>1528</v>
      </c>
      <c r="K13" s="378"/>
      <c r="L13" s="378"/>
      <c r="M13" s="378"/>
      <c r="N13" s="500"/>
      <c r="O13" s="378">
        <v>6150</v>
      </c>
      <c r="P13" s="378">
        <v>6493</v>
      </c>
      <c r="Q13" s="378">
        <v>7414</v>
      </c>
      <c r="R13" s="500">
        <f>+'[4]23'!$H$14</f>
        <v>6015</v>
      </c>
      <c r="S13" s="378">
        <v>1751</v>
      </c>
      <c r="T13" s="378">
        <v>1705</v>
      </c>
      <c r="U13" s="378">
        <v>2689</v>
      </c>
      <c r="V13" s="500">
        <f>+'[4]23'!$H$15</f>
        <v>1666</v>
      </c>
      <c r="W13" s="378">
        <v>660</v>
      </c>
      <c r="X13" s="378">
        <v>600</v>
      </c>
      <c r="Y13" s="378">
        <v>858</v>
      </c>
      <c r="Z13" s="500">
        <f>+'[4]23'!$H$20</f>
        <v>602</v>
      </c>
      <c r="AA13" s="377">
        <v>4</v>
      </c>
      <c r="AB13" s="378">
        <v>35</v>
      </c>
      <c r="AC13" s="378">
        <v>10</v>
      </c>
      <c r="AD13" s="500">
        <f>+'[4]23'!$H$21</f>
        <v>16</v>
      </c>
      <c r="AE13" s="378">
        <v>448</v>
      </c>
      <c r="AF13" s="378"/>
      <c r="AG13" s="378">
        <v>0</v>
      </c>
      <c r="AH13" s="377">
        <f t="shared" si="1"/>
        <v>13785</v>
      </c>
      <c r="AI13" s="378">
        <f>+D13+H13+L13+P13+T13+X13+AB13+AE13</f>
        <v>14644</v>
      </c>
      <c r="AJ13" s="378">
        <f>+E13+I13+M13+Q13+U13+Y13+AC13+AF13</f>
        <v>16900</v>
      </c>
      <c r="AK13" s="500">
        <f>+F13+J13+N13+R13+V13+Z13+AD13+AG13</f>
        <v>12849</v>
      </c>
    </row>
    <row r="14" spans="1:37" s="515" customFormat="1" ht="20.25" customHeight="1">
      <c r="A14" s="509" t="s">
        <v>1024</v>
      </c>
      <c r="B14" s="518"/>
      <c r="C14" s="507">
        <v>21728</v>
      </c>
      <c r="D14" s="507">
        <v>19898</v>
      </c>
      <c r="E14" s="507">
        <v>16206</v>
      </c>
      <c r="F14" s="508">
        <f>SUM(F10:F13)</f>
        <v>15891</v>
      </c>
      <c r="G14" s="507">
        <v>12149</v>
      </c>
      <c r="H14" s="507">
        <v>10880</v>
      </c>
      <c r="I14" s="507">
        <v>8645</v>
      </c>
      <c r="J14" s="508">
        <f>SUM(J10:J13)</f>
        <v>8702</v>
      </c>
      <c r="K14" s="507">
        <f>SUM(K10:K13)</f>
        <v>0</v>
      </c>
      <c r="L14" s="507">
        <f>SUM(L10:L13)</f>
        <v>0</v>
      </c>
      <c r="M14" s="507">
        <f>SUM(M10:M13)</f>
        <v>0</v>
      </c>
      <c r="N14" s="508">
        <f>SUM(N10:N13)</f>
        <v>0</v>
      </c>
      <c r="O14" s="507">
        <v>46356</v>
      </c>
      <c r="P14" s="507">
        <v>44465</v>
      </c>
      <c r="Q14" s="507">
        <v>37152</v>
      </c>
      <c r="R14" s="508">
        <f>SUM(R10:R13)</f>
        <v>37864</v>
      </c>
      <c r="S14" s="507">
        <v>16845</v>
      </c>
      <c r="T14" s="507">
        <v>16856</v>
      </c>
      <c r="U14" s="507">
        <v>15794</v>
      </c>
      <c r="V14" s="508">
        <f>SUM(V10:V13)</f>
        <v>15741</v>
      </c>
      <c r="W14" s="507">
        <v>2734</v>
      </c>
      <c r="X14" s="507">
        <v>3750</v>
      </c>
      <c r="Y14" s="507">
        <v>3922</v>
      </c>
      <c r="Z14" s="508">
        <f>SUM(Z10:Z13)</f>
        <v>4222</v>
      </c>
      <c r="AA14" s="506">
        <v>1340</v>
      </c>
      <c r="AB14" s="507">
        <v>271</v>
      </c>
      <c r="AC14" s="507">
        <v>115</v>
      </c>
      <c r="AD14" s="508">
        <f>SUM(AD10:AD13)</f>
        <v>169</v>
      </c>
      <c r="AE14" s="507">
        <v>448</v>
      </c>
      <c r="AF14" s="507"/>
      <c r="AG14" s="508">
        <f>SUM(AG10:AG13)</f>
        <v>92</v>
      </c>
      <c r="AH14" s="506">
        <f>SUM(AH10:AH13)</f>
        <v>101152</v>
      </c>
      <c r="AI14" s="507">
        <f>SUM(AI10:AI13)</f>
        <v>96568</v>
      </c>
      <c r="AJ14" s="507">
        <f>SUM(AJ10:AJ13)</f>
        <v>81834</v>
      </c>
      <c r="AK14" s="508">
        <f>SUM(AK10:AK13)</f>
        <v>82681</v>
      </c>
    </row>
    <row r="15" spans="1:37" s="515" customFormat="1" ht="20.25" customHeight="1">
      <c r="A15" s="499" t="s">
        <v>1025</v>
      </c>
      <c r="B15" s="350" t="s">
        <v>1051</v>
      </c>
      <c r="C15" s="378">
        <v>4918</v>
      </c>
      <c r="D15" s="378">
        <v>4799</v>
      </c>
      <c r="E15" s="378">
        <v>4894</v>
      </c>
      <c r="F15" s="500">
        <f>+'[4]23'!$L$12</f>
        <v>4765</v>
      </c>
      <c r="G15" s="378">
        <v>2666</v>
      </c>
      <c r="H15" s="378">
        <v>2361</v>
      </c>
      <c r="I15" s="378">
        <v>2518</v>
      </c>
      <c r="J15" s="500">
        <f>+'[4]23'!$L$13</f>
        <v>2082</v>
      </c>
      <c r="K15" s="378"/>
      <c r="L15" s="378"/>
      <c r="M15" s="378"/>
      <c r="N15" s="500"/>
      <c r="O15" s="378">
        <v>12056</v>
      </c>
      <c r="P15" s="378">
        <v>11694</v>
      </c>
      <c r="Q15" s="378">
        <v>11614</v>
      </c>
      <c r="R15" s="500">
        <f>+'[4]23'!$L$14</f>
        <v>10045</v>
      </c>
      <c r="S15" s="378">
        <v>5468</v>
      </c>
      <c r="T15" s="378">
        <v>5280</v>
      </c>
      <c r="U15" s="378">
        <v>5128</v>
      </c>
      <c r="V15" s="500">
        <f>+'[4]23'!$L$15</f>
        <v>4367</v>
      </c>
      <c r="W15" s="378">
        <v>1848</v>
      </c>
      <c r="X15" s="378">
        <v>1324</v>
      </c>
      <c r="Y15" s="378">
        <v>1197</v>
      </c>
      <c r="Z15" s="500">
        <f>+'[4]23'!$L$20</f>
        <v>1569</v>
      </c>
      <c r="AA15" s="377">
        <v>1436</v>
      </c>
      <c r="AB15" s="378">
        <v>1176</v>
      </c>
      <c r="AC15" s="378">
        <v>686</v>
      </c>
      <c r="AD15" s="500">
        <f>+'[4]23'!$L$21</f>
        <v>880</v>
      </c>
      <c r="AE15" s="378"/>
      <c r="AF15" s="378"/>
      <c r="AG15" s="378">
        <v>47</v>
      </c>
      <c r="AH15" s="377">
        <f t="shared" ref="AH15:AJ17" si="2">+C15+G15+K15+O15+S15+W15+AA15</f>
        <v>28392</v>
      </c>
      <c r="AI15" s="378">
        <f t="shared" si="2"/>
        <v>26634</v>
      </c>
      <c r="AJ15" s="378">
        <f t="shared" si="2"/>
        <v>26037</v>
      </c>
      <c r="AK15" s="500">
        <f>+F15+J15+N15+R15+V15+Z15+AD15+AG15</f>
        <v>23755</v>
      </c>
    </row>
    <row r="16" spans="1:37" s="515" customFormat="1" ht="20.25" customHeight="1">
      <c r="A16" s="499"/>
      <c r="B16" s="350" t="s">
        <v>1052</v>
      </c>
      <c r="C16" s="378">
        <v>8460</v>
      </c>
      <c r="D16" s="378">
        <v>9063</v>
      </c>
      <c r="E16" s="378">
        <v>8458</v>
      </c>
      <c r="F16" s="500">
        <f>+'[4]23'!$M$12</f>
        <v>8376</v>
      </c>
      <c r="G16" s="378">
        <v>3757</v>
      </c>
      <c r="H16" s="378">
        <v>3938</v>
      </c>
      <c r="I16" s="378">
        <v>3633</v>
      </c>
      <c r="J16" s="500">
        <f>+'[4]23'!$M$13</f>
        <v>3733</v>
      </c>
      <c r="K16" s="378"/>
      <c r="L16" s="378"/>
      <c r="M16" s="378"/>
      <c r="N16" s="500"/>
      <c r="O16" s="378">
        <v>14917</v>
      </c>
      <c r="P16" s="378">
        <v>16203</v>
      </c>
      <c r="Q16" s="378">
        <v>16445</v>
      </c>
      <c r="R16" s="500">
        <f>+'[4]23'!$M$14</f>
        <v>18434</v>
      </c>
      <c r="S16" s="378">
        <v>5956</v>
      </c>
      <c r="T16" s="378">
        <v>7064</v>
      </c>
      <c r="U16" s="378">
        <v>8279</v>
      </c>
      <c r="V16" s="500">
        <f>+'[4]23'!$M$15</f>
        <v>8558</v>
      </c>
      <c r="W16" s="378">
        <v>1518</v>
      </c>
      <c r="X16" s="378">
        <v>1998</v>
      </c>
      <c r="Y16" s="378">
        <v>3049</v>
      </c>
      <c r="Z16" s="500">
        <f>+'[4]23'!$M$20</f>
        <v>2475</v>
      </c>
      <c r="AA16" s="377"/>
      <c r="AB16" s="378"/>
      <c r="AC16" s="378"/>
      <c r="AD16" s="500"/>
      <c r="AE16" s="378"/>
      <c r="AF16" s="378">
        <v>26</v>
      </c>
      <c r="AG16" s="378"/>
      <c r="AH16" s="377">
        <f t="shared" si="2"/>
        <v>34608</v>
      </c>
      <c r="AI16" s="378">
        <f t="shared" si="2"/>
        <v>38266</v>
      </c>
      <c r="AJ16" s="378">
        <f>+E16+I16+M16+Q16+U16+Y16+AC16+AF16</f>
        <v>39890</v>
      </c>
      <c r="AK16" s="500">
        <f>+F16+J16+N16+R16+V16+Z16+AD16+AG16</f>
        <v>41576</v>
      </c>
    </row>
    <row r="17" spans="1:42" s="515" customFormat="1" ht="20.25" customHeight="1">
      <c r="A17" s="499"/>
      <c r="B17" s="350" t="s">
        <v>897</v>
      </c>
      <c r="C17" s="378">
        <v>1512</v>
      </c>
      <c r="D17" s="378">
        <v>1258</v>
      </c>
      <c r="E17" s="378">
        <v>1242</v>
      </c>
      <c r="F17" s="500">
        <f>+'[4]23'!$K$12</f>
        <v>1511</v>
      </c>
      <c r="G17" s="378">
        <v>978</v>
      </c>
      <c r="H17" s="378">
        <v>740</v>
      </c>
      <c r="I17" s="378">
        <v>916</v>
      </c>
      <c r="J17" s="500">
        <f>+'[4]23'!$K$13</f>
        <v>1026</v>
      </c>
      <c r="K17" s="378"/>
      <c r="L17" s="378"/>
      <c r="M17" s="378"/>
      <c r="N17" s="500"/>
      <c r="O17" s="378">
        <v>3355</v>
      </c>
      <c r="P17" s="378">
        <v>3267</v>
      </c>
      <c r="Q17" s="378">
        <v>3923</v>
      </c>
      <c r="R17" s="500">
        <f>+'[4]23'!$K$14</f>
        <v>4173</v>
      </c>
      <c r="S17" s="378">
        <v>1064</v>
      </c>
      <c r="T17" s="378">
        <v>1211</v>
      </c>
      <c r="U17" s="378">
        <v>1412</v>
      </c>
      <c r="V17" s="500">
        <f>+'[4]23'!$K$15</f>
        <v>1444</v>
      </c>
      <c r="W17" s="378">
        <v>192</v>
      </c>
      <c r="X17" s="378">
        <v>308</v>
      </c>
      <c r="Y17" s="378">
        <v>190</v>
      </c>
      <c r="Z17" s="500">
        <f>+'[4]23'!$K$20</f>
        <v>122</v>
      </c>
      <c r="AA17" s="377"/>
      <c r="AB17" s="378"/>
      <c r="AC17" s="378"/>
      <c r="AD17" s="500"/>
      <c r="AE17" s="378"/>
      <c r="AF17" s="378">
        <v>12</v>
      </c>
      <c r="AG17" s="378">
        <v>94</v>
      </c>
      <c r="AH17" s="377">
        <f t="shared" si="2"/>
        <v>7101</v>
      </c>
      <c r="AI17" s="378">
        <f t="shared" si="2"/>
        <v>6784</v>
      </c>
      <c r="AJ17" s="378">
        <f>+E17+I17+M17+Q17+U17+Y17+AC17+AF17</f>
        <v>7695</v>
      </c>
      <c r="AK17" s="500">
        <f>+F17+J17+N17+R17+V17+Z17+AD17+AG17</f>
        <v>8370</v>
      </c>
      <c r="AL17" s="388"/>
      <c r="AP17" s="525"/>
    </row>
    <row r="18" spans="1:42" s="515" customFormat="1" ht="20.25" customHeight="1">
      <c r="A18" s="499"/>
      <c r="B18" s="350" t="s">
        <v>690</v>
      </c>
      <c r="C18" s="378">
        <v>14890</v>
      </c>
      <c r="D18" s="378">
        <v>15120</v>
      </c>
      <c r="E18" s="378">
        <v>14594</v>
      </c>
      <c r="F18" s="500">
        <f>SUM(F15:F17)</f>
        <v>14652</v>
      </c>
      <c r="G18" s="378">
        <v>7401</v>
      </c>
      <c r="H18" s="378">
        <v>7039</v>
      </c>
      <c r="I18" s="378">
        <v>7067</v>
      </c>
      <c r="J18" s="500">
        <f>SUM(J15:J17)</f>
        <v>6841</v>
      </c>
      <c r="K18" s="378">
        <f>SUM(K15:K17)</f>
        <v>0</v>
      </c>
      <c r="L18" s="378">
        <f>SUM(L15:L17)</f>
        <v>0</v>
      </c>
      <c r="M18" s="378">
        <f>SUM(M15:M17)</f>
        <v>0</v>
      </c>
      <c r="N18" s="500">
        <f>SUM(N15:N17)</f>
        <v>0</v>
      </c>
      <c r="O18" s="378">
        <v>30328</v>
      </c>
      <c r="P18" s="378">
        <v>31164</v>
      </c>
      <c r="Q18" s="378">
        <v>31982</v>
      </c>
      <c r="R18" s="500">
        <f>SUM(R15:R17)</f>
        <v>32652</v>
      </c>
      <c r="S18" s="378">
        <v>12488</v>
      </c>
      <c r="T18" s="378">
        <v>13555</v>
      </c>
      <c r="U18" s="378">
        <v>14819</v>
      </c>
      <c r="V18" s="500">
        <f>SUM(V15:V17)</f>
        <v>14369</v>
      </c>
      <c r="W18" s="378">
        <v>3558</v>
      </c>
      <c r="X18" s="378">
        <v>3630</v>
      </c>
      <c r="Y18" s="378">
        <v>4436</v>
      </c>
      <c r="Z18" s="500">
        <f>SUM(Z15:Z17)</f>
        <v>4166</v>
      </c>
      <c r="AA18" s="377">
        <v>1436</v>
      </c>
      <c r="AB18" s="378">
        <v>1176</v>
      </c>
      <c r="AC18" s="378">
        <v>686</v>
      </c>
      <c r="AD18" s="500">
        <f>SUM(AD15:AD17)</f>
        <v>880</v>
      </c>
      <c r="AE18" s="378"/>
      <c r="AF18" s="378">
        <v>38</v>
      </c>
      <c r="AG18" s="500">
        <f>SUM(AG15:AG17)</f>
        <v>141</v>
      </c>
      <c r="AH18" s="377">
        <f>SUM(AH15:AH17)</f>
        <v>70101</v>
      </c>
      <c r="AI18" s="378">
        <f>SUM(AI15:AI17)</f>
        <v>71684</v>
      </c>
      <c r="AJ18" s="378">
        <f>SUM(AJ15:AJ17)</f>
        <v>73622</v>
      </c>
      <c r="AK18" s="500">
        <f>SUM(AK15:AK17)</f>
        <v>73701</v>
      </c>
      <c r="AL18" s="388"/>
      <c r="AP18" s="525"/>
    </row>
    <row r="19" spans="1:42" s="515" customFormat="1" ht="20.25" customHeight="1">
      <c r="A19" s="499"/>
      <c r="B19" s="350" t="s">
        <v>1053</v>
      </c>
      <c r="C19" s="378">
        <v>3943</v>
      </c>
      <c r="D19" s="378">
        <v>3919</v>
      </c>
      <c r="E19" s="378">
        <v>3057</v>
      </c>
      <c r="F19" s="500">
        <f>+'[4]23'!$S$12</f>
        <v>3052</v>
      </c>
      <c r="G19" s="378">
        <v>2598</v>
      </c>
      <c r="H19" s="378">
        <v>2963</v>
      </c>
      <c r="I19" s="378">
        <v>2253</v>
      </c>
      <c r="J19" s="500">
        <f>+'[4]23'!$S$13</f>
        <v>2043</v>
      </c>
      <c r="K19" s="378"/>
      <c r="L19" s="378"/>
      <c r="M19" s="378"/>
      <c r="N19" s="500"/>
      <c r="O19" s="378">
        <v>10044</v>
      </c>
      <c r="P19" s="378">
        <v>11447</v>
      </c>
      <c r="Q19" s="378">
        <v>8792</v>
      </c>
      <c r="R19" s="500">
        <f>+'[4]23'!$S$14</f>
        <v>9452</v>
      </c>
      <c r="S19" s="378">
        <v>4171</v>
      </c>
      <c r="T19" s="378">
        <v>4542</v>
      </c>
      <c r="U19" s="378">
        <v>4053</v>
      </c>
      <c r="V19" s="500">
        <f>+'[4]23'!$S$15</f>
        <v>4235</v>
      </c>
      <c r="W19" s="378">
        <v>2036</v>
      </c>
      <c r="X19" s="378">
        <v>2083</v>
      </c>
      <c r="Y19" s="378">
        <v>1796</v>
      </c>
      <c r="Z19" s="500">
        <f>+'[4]23'!$S$20</f>
        <v>2091</v>
      </c>
      <c r="AA19" s="377"/>
      <c r="AB19" s="378"/>
      <c r="AC19" s="378">
        <v>16</v>
      </c>
      <c r="AD19" s="500">
        <f>+'[4]23'!$S$21</f>
        <v>12</v>
      </c>
      <c r="AE19" s="378"/>
      <c r="AF19" s="378"/>
      <c r="AG19" s="378"/>
      <c r="AH19" s="377">
        <f t="shared" ref="AH19:AK20" si="3">+C19+G19+K19+O19+S19+W19+AA19</f>
        <v>22792</v>
      </c>
      <c r="AI19" s="378">
        <f t="shared" si="3"/>
        <v>24954</v>
      </c>
      <c r="AJ19" s="378">
        <f t="shared" si="3"/>
        <v>19967</v>
      </c>
      <c r="AK19" s="500">
        <f t="shared" si="3"/>
        <v>20885</v>
      </c>
      <c r="AL19" s="388"/>
    </row>
    <row r="20" spans="1:42" s="515" customFormat="1" ht="20.25" customHeight="1">
      <c r="A20" s="499"/>
      <c r="B20" s="350" t="s">
        <v>1026</v>
      </c>
      <c r="C20" s="378">
        <v>1</v>
      </c>
      <c r="D20" s="378"/>
      <c r="E20" s="378">
        <v>4</v>
      </c>
      <c r="F20" s="500">
        <f>+'[4]23'!$R$12</f>
        <v>2</v>
      </c>
      <c r="G20" s="378"/>
      <c r="H20" s="378">
        <v>1</v>
      </c>
      <c r="I20" s="378">
        <v>7</v>
      </c>
      <c r="J20" s="500">
        <f>+'[4]23'!$R$13</f>
        <v>3</v>
      </c>
      <c r="K20" s="378"/>
      <c r="L20" s="378"/>
      <c r="M20" s="378"/>
      <c r="N20" s="500"/>
      <c r="O20" s="378">
        <v>177</v>
      </c>
      <c r="P20" s="378">
        <v>283</v>
      </c>
      <c r="Q20" s="378">
        <v>379</v>
      </c>
      <c r="R20" s="500">
        <f>+'[4]23'!$R$14</f>
        <v>345</v>
      </c>
      <c r="S20" s="378"/>
      <c r="T20" s="378">
        <v>1</v>
      </c>
      <c r="U20" s="378">
        <v>6</v>
      </c>
      <c r="V20" s="500">
        <f>+'[4]23'!$R$15</f>
        <v>1</v>
      </c>
      <c r="W20" s="378"/>
      <c r="X20" s="378"/>
      <c r="Y20" s="378"/>
      <c r="Z20" s="500"/>
      <c r="AA20" s="377"/>
      <c r="AB20" s="378"/>
      <c r="AC20" s="378"/>
      <c r="AD20" s="500"/>
      <c r="AE20" s="378"/>
      <c r="AF20" s="378"/>
      <c r="AG20" s="378"/>
      <c r="AH20" s="377">
        <f t="shared" si="3"/>
        <v>178</v>
      </c>
      <c r="AI20" s="378">
        <f t="shared" si="3"/>
        <v>285</v>
      </c>
      <c r="AJ20" s="378">
        <f t="shared" si="3"/>
        <v>396</v>
      </c>
      <c r="AK20" s="500">
        <f t="shared" si="3"/>
        <v>351</v>
      </c>
      <c r="AL20" s="388"/>
    </row>
    <row r="21" spans="1:42" s="515" customFormat="1" ht="20.25" customHeight="1">
      <c r="A21" s="499"/>
      <c r="B21" s="350" t="s">
        <v>690</v>
      </c>
      <c r="C21" s="378">
        <v>3944</v>
      </c>
      <c r="D21" s="378">
        <v>3919</v>
      </c>
      <c r="E21" s="378">
        <v>3061</v>
      </c>
      <c r="F21" s="500">
        <f>SUM(F19:F20)</f>
        <v>3054</v>
      </c>
      <c r="G21" s="378">
        <v>2598</v>
      </c>
      <c r="H21" s="378">
        <v>2964</v>
      </c>
      <c r="I21" s="378">
        <v>2260</v>
      </c>
      <c r="J21" s="500">
        <f>SUM(J19:J20)</f>
        <v>2046</v>
      </c>
      <c r="K21" s="378">
        <f>SUM(K19:K20)</f>
        <v>0</v>
      </c>
      <c r="L21" s="378">
        <f>SUM(L19:L20)</f>
        <v>0</v>
      </c>
      <c r="M21" s="378">
        <f>SUM(M19:M20)</f>
        <v>0</v>
      </c>
      <c r="N21" s="500">
        <f>SUM(N19:N20)</f>
        <v>0</v>
      </c>
      <c r="O21" s="378">
        <v>10221</v>
      </c>
      <c r="P21" s="378">
        <v>11730</v>
      </c>
      <c r="Q21" s="378">
        <v>9171</v>
      </c>
      <c r="R21" s="500">
        <f>SUM(R19:R20)</f>
        <v>9797</v>
      </c>
      <c r="S21" s="378">
        <v>4171</v>
      </c>
      <c r="T21" s="378">
        <v>4543</v>
      </c>
      <c r="U21" s="378">
        <v>4059</v>
      </c>
      <c r="V21" s="500">
        <f>SUM(V19:V20)</f>
        <v>4236</v>
      </c>
      <c r="W21" s="378">
        <v>2036</v>
      </c>
      <c r="X21" s="378">
        <v>2083</v>
      </c>
      <c r="Y21" s="378">
        <v>1796</v>
      </c>
      <c r="Z21" s="500">
        <f>SUM(Z19:Z20)</f>
        <v>2091</v>
      </c>
      <c r="AA21" s="377">
        <v>0</v>
      </c>
      <c r="AB21" s="378">
        <v>0</v>
      </c>
      <c r="AC21" s="378">
        <v>16</v>
      </c>
      <c r="AD21" s="500">
        <f>SUM(AD19:AD20)</f>
        <v>12</v>
      </c>
      <c r="AE21" s="378"/>
      <c r="AF21" s="378"/>
      <c r="AG21" s="378"/>
      <c r="AH21" s="377">
        <f>SUM(AH19:AH20)</f>
        <v>22970</v>
      </c>
      <c r="AI21" s="378">
        <f>SUM(AI19:AI20)</f>
        <v>25239</v>
      </c>
      <c r="AJ21" s="378">
        <f>SUM(AJ19:AJ20)</f>
        <v>20363</v>
      </c>
      <c r="AK21" s="500">
        <f>SUM(AK19:AK20)</f>
        <v>21236</v>
      </c>
      <c r="AL21" s="388"/>
    </row>
    <row r="22" spans="1:42" s="515" customFormat="1" ht="20.25" customHeight="1">
      <c r="A22" s="499" t="s">
        <v>582</v>
      </c>
      <c r="B22" s="350" t="s">
        <v>1054</v>
      </c>
      <c r="C22" s="378">
        <v>3498</v>
      </c>
      <c r="D22" s="378">
        <v>3223</v>
      </c>
      <c r="E22" s="378">
        <v>2808</v>
      </c>
      <c r="F22" s="500">
        <f>+'[4]23'!$T$12</f>
        <v>3348</v>
      </c>
      <c r="G22" s="378">
        <v>2274</v>
      </c>
      <c r="H22" s="378">
        <v>2135</v>
      </c>
      <c r="I22" s="378">
        <v>1915</v>
      </c>
      <c r="J22" s="500">
        <f>+'[4]23'!$T$13</f>
        <v>2101</v>
      </c>
      <c r="K22" s="378"/>
      <c r="L22" s="378"/>
      <c r="M22" s="378"/>
      <c r="N22" s="500"/>
      <c r="O22" s="378">
        <v>7527</v>
      </c>
      <c r="P22" s="378">
        <v>7198</v>
      </c>
      <c r="Q22" s="378">
        <v>6649</v>
      </c>
      <c r="R22" s="500">
        <f>+'[4]23'!$T$14</f>
        <v>8381</v>
      </c>
      <c r="S22" s="378">
        <v>2155</v>
      </c>
      <c r="T22" s="378">
        <v>2193</v>
      </c>
      <c r="U22" s="378">
        <v>1923</v>
      </c>
      <c r="V22" s="500">
        <f>+'[4]23'!$T$15</f>
        <v>2777</v>
      </c>
      <c r="W22" s="378">
        <v>594</v>
      </c>
      <c r="X22" s="378">
        <v>630</v>
      </c>
      <c r="Y22" s="378">
        <v>568</v>
      </c>
      <c r="Z22" s="500">
        <f>+'[4]23'!$T$20</f>
        <v>305</v>
      </c>
      <c r="AA22" s="377"/>
      <c r="AB22" s="378"/>
      <c r="AC22" s="378"/>
      <c r="AD22" s="500"/>
      <c r="AE22" s="378"/>
      <c r="AF22" s="378"/>
      <c r="AG22" s="378"/>
      <c r="AH22" s="377">
        <f t="shared" ref="AH22:AK26" si="4">+C22+G22+K22+O22+S22+W22+AA22</f>
        <v>16048</v>
      </c>
      <c r="AI22" s="378">
        <f t="shared" si="4"/>
        <v>15379</v>
      </c>
      <c r="AJ22" s="378">
        <f t="shared" si="4"/>
        <v>13863</v>
      </c>
      <c r="AK22" s="500">
        <f t="shared" si="4"/>
        <v>16912</v>
      </c>
    </row>
    <row r="23" spans="1:42" s="515" customFormat="1" ht="20.25" customHeight="1">
      <c r="A23" s="499" t="s">
        <v>583</v>
      </c>
      <c r="B23" s="350" t="s">
        <v>1055</v>
      </c>
      <c r="C23" s="378">
        <v>2709</v>
      </c>
      <c r="D23" s="378">
        <v>2492</v>
      </c>
      <c r="E23" s="378">
        <v>2333</v>
      </c>
      <c r="F23" s="500">
        <f>+'[4]23'!$Q$12</f>
        <v>2494</v>
      </c>
      <c r="G23" s="378">
        <v>1544</v>
      </c>
      <c r="H23" s="378">
        <v>1496</v>
      </c>
      <c r="I23" s="378">
        <v>1378</v>
      </c>
      <c r="J23" s="500">
        <f>+'[4]23'!$Q$13</f>
        <v>1539</v>
      </c>
      <c r="K23" s="378"/>
      <c r="L23" s="378"/>
      <c r="M23" s="378"/>
      <c r="N23" s="500"/>
      <c r="O23" s="378">
        <v>5666</v>
      </c>
      <c r="P23" s="378">
        <v>5496</v>
      </c>
      <c r="Q23" s="378">
        <v>5548</v>
      </c>
      <c r="R23" s="500">
        <f>+'[4]23'!$Q$14</f>
        <v>6370</v>
      </c>
      <c r="S23" s="378">
        <v>1404</v>
      </c>
      <c r="T23" s="378">
        <v>1377</v>
      </c>
      <c r="U23" s="378">
        <v>1708</v>
      </c>
      <c r="V23" s="500">
        <f>+'[4]23'!$Q$15</f>
        <v>1982</v>
      </c>
      <c r="W23" s="378">
        <v>373</v>
      </c>
      <c r="X23" s="378">
        <v>329</v>
      </c>
      <c r="Y23" s="378">
        <v>395</v>
      </c>
      <c r="Z23" s="500">
        <f>+'[4]23'!$Q$20</f>
        <v>545</v>
      </c>
      <c r="AA23" s="377"/>
      <c r="AB23" s="378"/>
      <c r="AC23" s="378"/>
      <c r="AD23" s="500">
        <f>+'[4]23'!$Q$21</f>
        <v>276</v>
      </c>
      <c r="AE23" s="378">
        <v>43</v>
      </c>
      <c r="AF23" s="378"/>
      <c r="AG23" s="378">
        <v>0</v>
      </c>
      <c r="AH23" s="377">
        <f t="shared" si="4"/>
        <v>11696</v>
      </c>
      <c r="AI23" s="378">
        <f>+D23+H23+L23+P23+T23+X23+AB23+AE23</f>
        <v>11233</v>
      </c>
      <c r="AJ23" s="378">
        <f>+E23+I23+M23+Q23+U23+Y23+AC23+AF23</f>
        <v>11362</v>
      </c>
      <c r="AK23" s="500">
        <f>+F23+J23+N23+R23+V23+Z23+AD23+AG23</f>
        <v>13206</v>
      </c>
    </row>
    <row r="24" spans="1:42" s="515" customFormat="1" ht="20.25" customHeight="1">
      <c r="A24" s="499" t="s">
        <v>1027</v>
      </c>
      <c r="B24" s="350" t="s">
        <v>902</v>
      </c>
      <c r="C24" s="378">
        <v>4447</v>
      </c>
      <c r="D24" s="378">
        <v>5213</v>
      </c>
      <c r="E24" s="378">
        <v>4867</v>
      </c>
      <c r="F24" s="500">
        <f>+'[4]23'!$P$12</f>
        <v>5620</v>
      </c>
      <c r="G24" s="378">
        <v>2511</v>
      </c>
      <c r="H24" s="378">
        <v>2863</v>
      </c>
      <c r="I24" s="378">
        <v>2436</v>
      </c>
      <c r="J24" s="500">
        <f>+'[4]23'!$P$13</f>
        <v>2459</v>
      </c>
      <c r="K24" s="378"/>
      <c r="L24" s="378"/>
      <c r="M24" s="378"/>
      <c r="N24" s="500"/>
      <c r="O24" s="378">
        <v>10637</v>
      </c>
      <c r="P24" s="378">
        <v>12439</v>
      </c>
      <c r="Q24" s="378">
        <v>12059</v>
      </c>
      <c r="R24" s="500">
        <f>+'[4]23'!$P$14</f>
        <v>11172</v>
      </c>
      <c r="S24" s="378">
        <v>3876</v>
      </c>
      <c r="T24" s="378">
        <v>4330</v>
      </c>
      <c r="U24" s="378">
        <v>4466</v>
      </c>
      <c r="V24" s="500">
        <f>+'[4]23'!$P$15</f>
        <v>4058</v>
      </c>
      <c r="W24" s="378">
        <v>1516</v>
      </c>
      <c r="X24" s="378">
        <v>1532</v>
      </c>
      <c r="Y24" s="378">
        <v>1040</v>
      </c>
      <c r="Z24" s="500">
        <f>+'[4]23'!$P$20</f>
        <v>1251</v>
      </c>
      <c r="AA24" s="377"/>
      <c r="AB24" s="378">
        <v>71</v>
      </c>
      <c r="AC24" s="378">
        <v>48</v>
      </c>
      <c r="AD24" s="500">
        <f>+'[4]23'!$P$21</f>
        <v>57</v>
      </c>
      <c r="AE24" s="378"/>
      <c r="AF24" s="378"/>
      <c r="AG24" s="378"/>
      <c r="AH24" s="377">
        <f t="shared" si="4"/>
        <v>22987</v>
      </c>
      <c r="AI24" s="378">
        <f t="shared" si="4"/>
        <v>26448</v>
      </c>
      <c r="AJ24" s="378">
        <f t="shared" si="4"/>
        <v>24916</v>
      </c>
      <c r="AK24" s="500">
        <f t="shared" si="4"/>
        <v>24617</v>
      </c>
    </row>
    <row r="25" spans="1:42" s="515" customFormat="1" ht="20.25" customHeight="1">
      <c r="A25" s="499"/>
      <c r="B25" s="303" t="s">
        <v>1062</v>
      </c>
      <c r="C25" s="378"/>
      <c r="D25" s="378"/>
      <c r="E25" s="378">
        <v>1</v>
      </c>
      <c r="F25" s="500">
        <f>+'[4]23'!$O$12</f>
        <v>0</v>
      </c>
      <c r="G25" s="378"/>
      <c r="H25" s="378">
        <v>2</v>
      </c>
      <c r="I25" s="378"/>
      <c r="J25" s="500">
        <f>+'[4]23'!$O$13</f>
        <v>1</v>
      </c>
      <c r="K25" s="378"/>
      <c r="L25" s="378"/>
      <c r="M25" s="378"/>
      <c r="N25" s="500"/>
      <c r="O25" s="378"/>
      <c r="P25" s="378">
        <v>281</v>
      </c>
      <c r="Q25" s="378">
        <v>355</v>
      </c>
      <c r="R25" s="500">
        <f>+'[4]23'!$O$14</f>
        <v>291</v>
      </c>
      <c r="S25" s="378"/>
      <c r="T25" s="378">
        <v>207</v>
      </c>
      <c r="U25" s="378">
        <v>176</v>
      </c>
      <c r="V25" s="500">
        <f>+'[4]23'!$O$15</f>
        <v>104</v>
      </c>
      <c r="W25" s="378"/>
      <c r="X25" s="378"/>
      <c r="Y25" s="378"/>
      <c r="Z25" s="500"/>
      <c r="AA25" s="377"/>
      <c r="AB25" s="378"/>
      <c r="AC25" s="378"/>
      <c r="AD25" s="500"/>
      <c r="AE25" s="378"/>
      <c r="AF25" s="378"/>
      <c r="AG25" s="378"/>
      <c r="AH25" s="377"/>
      <c r="AI25" s="378">
        <f t="shared" si="4"/>
        <v>490</v>
      </c>
      <c r="AJ25" s="378">
        <f t="shared" si="4"/>
        <v>532</v>
      </c>
      <c r="AK25" s="500">
        <f t="shared" si="4"/>
        <v>396</v>
      </c>
    </row>
    <row r="26" spans="1:42" s="515" customFormat="1" ht="20.25" customHeight="1">
      <c r="A26" s="499" t="s">
        <v>585</v>
      </c>
      <c r="B26" s="350" t="s">
        <v>1056</v>
      </c>
      <c r="C26" s="378">
        <v>4503</v>
      </c>
      <c r="D26" s="378">
        <v>4252</v>
      </c>
      <c r="E26" s="378">
        <v>3306</v>
      </c>
      <c r="F26" s="500">
        <f>+'[4]23'!$N$12</f>
        <v>3033</v>
      </c>
      <c r="G26" s="378">
        <v>2479</v>
      </c>
      <c r="H26" s="378">
        <v>2694</v>
      </c>
      <c r="I26" s="378">
        <v>2115</v>
      </c>
      <c r="J26" s="500">
        <f>+'[4]23'!$N$13</f>
        <v>1843</v>
      </c>
      <c r="K26" s="378"/>
      <c r="L26" s="378"/>
      <c r="M26" s="378"/>
      <c r="N26" s="500"/>
      <c r="O26" s="378">
        <v>9596</v>
      </c>
      <c r="P26" s="378">
        <v>10496</v>
      </c>
      <c r="Q26" s="378">
        <v>9337</v>
      </c>
      <c r="R26" s="500">
        <f>+'[4]23'!$N$14</f>
        <v>7771</v>
      </c>
      <c r="S26" s="378">
        <v>2866</v>
      </c>
      <c r="T26" s="378">
        <v>2714</v>
      </c>
      <c r="U26" s="378">
        <v>2470</v>
      </c>
      <c r="V26" s="500">
        <f>+'[4]23'!$N$15</f>
        <v>2525</v>
      </c>
      <c r="W26" s="378">
        <v>586</v>
      </c>
      <c r="X26" s="378">
        <v>571</v>
      </c>
      <c r="Y26" s="378">
        <v>560</v>
      </c>
      <c r="Z26" s="500">
        <f>+'[4]23'!$N$20</f>
        <v>581</v>
      </c>
      <c r="AA26" s="377"/>
      <c r="AB26" s="378">
        <v>4</v>
      </c>
      <c r="AC26" s="378">
        <v>2</v>
      </c>
      <c r="AD26" s="500">
        <f>+'[4]23'!$N$21</f>
        <v>8</v>
      </c>
      <c r="AE26" s="378"/>
      <c r="AF26" s="378"/>
      <c r="AG26" s="378"/>
      <c r="AH26" s="377">
        <f t="shared" si="4"/>
        <v>20030</v>
      </c>
      <c r="AI26" s="378">
        <f t="shared" si="4"/>
        <v>20731</v>
      </c>
      <c r="AJ26" s="378">
        <f>+E26+I26+M26+Q26+U26+Y26+AC26</f>
        <v>17790</v>
      </c>
      <c r="AK26" s="500">
        <f t="shared" si="4"/>
        <v>15761</v>
      </c>
    </row>
    <row r="27" spans="1:42" s="515" customFormat="1" ht="20.25" customHeight="1">
      <c r="A27" s="509" t="s">
        <v>1028</v>
      </c>
      <c r="B27" s="516"/>
      <c r="C27" s="506">
        <v>33991</v>
      </c>
      <c r="D27" s="507">
        <v>34219</v>
      </c>
      <c r="E27" s="507">
        <v>30970</v>
      </c>
      <c r="F27" s="508">
        <f t="shared" ref="F27:AJ27" si="5">SUM(F21:F26)+F18</f>
        <v>32201</v>
      </c>
      <c r="G27" s="507">
        <v>18807</v>
      </c>
      <c r="H27" s="507">
        <v>19193</v>
      </c>
      <c r="I27" s="507">
        <v>17171</v>
      </c>
      <c r="J27" s="507">
        <f t="shared" si="5"/>
        <v>16830</v>
      </c>
      <c r="K27" s="506">
        <f t="shared" si="5"/>
        <v>0</v>
      </c>
      <c r="L27" s="507">
        <f t="shared" si="5"/>
        <v>0</v>
      </c>
      <c r="M27" s="507">
        <f t="shared" si="5"/>
        <v>0</v>
      </c>
      <c r="N27" s="508">
        <f t="shared" si="5"/>
        <v>0</v>
      </c>
      <c r="O27" s="507">
        <v>73975</v>
      </c>
      <c r="P27" s="507">
        <v>78804</v>
      </c>
      <c r="Q27" s="507">
        <v>75101</v>
      </c>
      <c r="R27" s="508">
        <f t="shared" si="5"/>
        <v>76434</v>
      </c>
      <c r="S27" s="507">
        <v>26960</v>
      </c>
      <c r="T27" s="507">
        <v>28919</v>
      </c>
      <c r="U27" s="507">
        <v>29621</v>
      </c>
      <c r="V27" s="508">
        <f t="shared" si="5"/>
        <v>30051</v>
      </c>
      <c r="W27" s="507">
        <v>8663</v>
      </c>
      <c r="X27" s="507">
        <v>8775</v>
      </c>
      <c r="Y27" s="507">
        <v>8795</v>
      </c>
      <c r="Z27" s="508">
        <f t="shared" si="5"/>
        <v>8939</v>
      </c>
      <c r="AA27" s="506">
        <v>1436</v>
      </c>
      <c r="AB27" s="507">
        <v>1251</v>
      </c>
      <c r="AC27" s="507">
        <v>752</v>
      </c>
      <c r="AD27" s="508">
        <f t="shared" si="5"/>
        <v>1233</v>
      </c>
      <c r="AE27" s="507">
        <v>43</v>
      </c>
      <c r="AF27" s="507">
        <f>SUM(AF21:AF26)+AF18</f>
        <v>38</v>
      </c>
      <c r="AG27" s="508">
        <f>SUM(AG21:AG26)+AG18</f>
        <v>141</v>
      </c>
      <c r="AH27" s="506">
        <f t="shared" si="5"/>
        <v>163832</v>
      </c>
      <c r="AI27" s="507">
        <f t="shared" si="5"/>
        <v>171204</v>
      </c>
      <c r="AJ27" s="507">
        <f t="shared" si="5"/>
        <v>162448</v>
      </c>
      <c r="AK27" s="508">
        <f>SUM(AK21:AK26)+AK18</f>
        <v>165829</v>
      </c>
    </row>
    <row r="28" spans="1:42" s="515" customFormat="1" ht="20.25" customHeight="1">
      <c r="A28" s="1237" t="s">
        <v>706</v>
      </c>
      <c r="B28" s="1239"/>
      <c r="C28" s="510">
        <f t="shared" ref="C28:AK28" si="6">+C14+C27</f>
        <v>55719</v>
      </c>
      <c r="D28" s="511">
        <f t="shared" si="6"/>
        <v>54117</v>
      </c>
      <c r="E28" s="511">
        <f t="shared" si="6"/>
        <v>47176</v>
      </c>
      <c r="F28" s="512">
        <f t="shared" si="6"/>
        <v>48092</v>
      </c>
      <c r="G28" s="511">
        <f t="shared" si="6"/>
        <v>30956</v>
      </c>
      <c r="H28" s="511">
        <f t="shared" si="6"/>
        <v>30073</v>
      </c>
      <c r="I28" s="511">
        <f t="shared" si="6"/>
        <v>25816</v>
      </c>
      <c r="J28" s="511">
        <f t="shared" si="6"/>
        <v>25532</v>
      </c>
      <c r="K28" s="510">
        <f t="shared" si="6"/>
        <v>0</v>
      </c>
      <c r="L28" s="511">
        <f t="shared" si="6"/>
        <v>0</v>
      </c>
      <c r="M28" s="511">
        <f t="shared" si="6"/>
        <v>0</v>
      </c>
      <c r="N28" s="512">
        <f t="shared" si="6"/>
        <v>0</v>
      </c>
      <c r="O28" s="511">
        <f t="shared" si="6"/>
        <v>120331</v>
      </c>
      <c r="P28" s="511">
        <f t="shared" si="6"/>
        <v>123269</v>
      </c>
      <c r="Q28" s="511">
        <f t="shared" si="6"/>
        <v>112253</v>
      </c>
      <c r="R28" s="512">
        <f t="shared" si="6"/>
        <v>114298</v>
      </c>
      <c r="S28" s="511">
        <f t="shared" si="6"/>
        <v>43805</v>
      </c>
      <c r="T28" s="511">
        <f t="shared" si="6"/>
        <v>45775</v>
      </c>
      <c r="U28" s="511">
        <f t="shared" si="6"/>
        <v>45415</v>
      </c>
      <c r="V28" s="512">
        <f t="shared" si="6"/>
        <v>45792</v>
      </c>
      <c r="W28" s="511">
        <f t="shared" si="6"/>
        <v>11397</v>
      </c>
      <c r="X28" s="511">
        <f t="shared" si="6"/>
        <v>12525</v>
      </c>
      <c r="Y28" s="511">
        <f t="shared" si="6"/>
        <v>12717</v>
      </c>
      <c r="Z28" s="512">
        <f t="shared" si="6"/>
        <v>13161</v>
      </c>
      <c r="AA28" s="510">
        <f t="shared" si="6"/>
        <v>2776</v>
      </c>
      <c r="AB28" s="511">
        <f t="shared" si="6"/>
        <v>1522</v>
      </c>
      <c r="AC28" s="511">
        <f t="shared" si="6"/>
        <v>867</v>
      </c>
      <c r="AD28" s="512">
        <f t="shared" si="6"/>
        <v>1402</v>
      </c>
      <c r="AE28" s="511">
        <v>491</v>
      </c>
      <c r="AF28" s="511">
        <f>+AF14+AF27</f>
        <v>38</v>
      </c>
      <c r="AG28" s="512">
        <f>+AG14+AG27</f>
        <v>233</v>
      </c>
      <c r="AH28" s="510">
        <f t="shared" si="6"/>
        <v>264984</v>
      </c>
      <c r="AI28" s="511">
        <f t="shared" si="6"/>
        <v>267772</v>
      </c>
      <c r="AJ28" s="511">
        <f t="shared" si="6"/>
        <v>244282</v>
      </c>
      <c r="AK28" s="512">
        <f t="shared" si="6"/>
        <v>248510</v>
      </c>
    </row>
    <row r="30" spans="1:42">
      <c r="I30" s="529"/>
      <c r="J30" s="529"/>
      <c r="AI30" s="529"/>
    </row>
    <row r="31" spans="1:42">
      <c r="J31" s="529"/>
      <c r="R31" s="529"/>
      <c r="V31" s="529"/>
      <c r="AK31" s="529"/>
    </row>
  </sheetData>
  <mergeCells count="13">
    <mergeCell ref="A28:B28"/>
    <mergeCell ref="A1:AK1"/>
    <mergeCell ref="AH6:AK6"/>
    <mergeCell ref="W6:Z6"/>
    <mergeCell ref="S6:V6"/>
    <mergeCell ref="O6:R6"/>
    <mergeCell ref="K6:N6"/>
    <mergeCell ref="G6:J6"/>
    <mergeCell ref="C6:F6"/>
    <mergeCell ref="A2:AK2"/>
    <mergeCell ref="A3:AK3"/>
    <mergeCell ref="AA6:AD6"/>
    <mergeCell ref="AE6:AG6"/>
  </mergeCells>
  <phoneticPr fontId="19" type="noConversion"/>
  <pageMargins left="0.39370078740157483" right="0" top="1.1811023622047245" bottom="0.78740157480314965" header="0" footer="0"/>
  <pageSetup paperSize="5" scale="68" orientation="landscape" horizontalDpi="300" verticalDpi="300" r:id="rId1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293"/>
  <sheetViews>
    <sheetView topLeftCell="J31" zoomScale="75" workbookViewId="0">
      <selection activeCell="Z36" sqref="Z36"/>
    </sheetView>
  </sheetViews>
  <sheetFormatPr baseColWidth="10" defaultRowHeight="12"/>
  <cols>
    <col min="1" max="1" width="27" style="406" customWidth="1"/>
    <col min="2" max="39" width="7.140625" style="406" customWidth="1"/>
    <col min="40" max="16384" width="11.42578125" style="406"/>
  </cols>
  <sheetData>
    <row r="1" spans="1:33">
      <c r="A1" s="1225" t="s">
        <v>1057</v>
      </c>
      <c r="B1" s="1225"/>
      <c r="C1" s="1225"/>
      <c r="D1" s="1225"/>
      <c r="E1" s="1225"/>
      <c r="F1" s="1225"/>
      <c r="G1" s="1225"/>
      <c r="H1" s="1225"/>
      <c r="I1" s="1225"/>
      <c r="J1" s="1225"/>
      <c r="K1" s="1225"/>
      <c r="L1" s="1225"/>
      <c r="M1" s="1225"/>
      <c r="N1" s="1225"/>
      <c r="O1" s="1225"/>
      <c r="P1" s="1225"/>
      <c r="Q1" s="1225"/>
      <c r="R1" s="1225"/>
      <c r="S1" s="1225"/>
      <c r="T1" s="1225"/>
      <c r="U1" s="1225"/>
      <c r="V1" s="1225"/>
      <c r="W1" s="1225"/>
      <c r="X1" s="1225"/>
      <c r="Y1" s="1225"/>
      <c r="Z1" s="1225"/>
      <c r="AA1" s="1225"/>
      <c r="AB1" s="1225"/>
      <c r="AC1" s="1225"/>
      <c r="AD1" s="1225"/>
      <c r="AE1" s="1225"/>
      <c r="AF1" s="1225"/>
    </row>
    <row r="2" spans="1:33">
      <c r="A2" s="1225" t="s">
        <v>1058</v>
      </c>
      <c r="B2" s="1225"/>
      <c r="C2" s="1225"/>
      <c r="D2" s="1225"/>
      <c r="E2" s="1225"/>
      <c r="F2" s="1225"/>
      <c r="G2" s="1225"/>
      <c r="H2" s="1225"/>
      <c r="I2" s="1225"/>
      <c r="J2" s="1225"/>
      <c r="K2" s="1225"/>
      <c r="L2" s="1225"/>
      <c r="M2" s="1225"/>
      <c r="N2" s="1225"/>
      <c r="O2" s="1225"/>
      <c r="P2" s="1225"/>
      <c r="Q2" s="1225"/>
      <c r="R2" s="1225"/>
      <c r="S2" s="1225"/>
      <c r="T2" s="1225"/>
      <c r="U2" s="1225"/>
      <c r="V2" s="1225"/>
      <c r="W2" s="1225"/>
      <c r="X2" s="1225"/>
      <c r="Y2" s="1225"/>
      <c r="Z2" s="1225"/>
      <c r="AA2" s="1225"/>
      <c r="AB2" s="1225"/>
      <c r="AC2" s="1225"/>
      <c r="AD2" s="1225"/>
      <c r="AE2" s="1225"/>
      <c r="AF2" s="1225"/>
    </row>
    <row r="3" spans="1:33">
      <c r="A3" s="1225" t="s">
        <v>970</v>
      </c>
      <c r="B3" s="1225"/>
      <c r="C3" s="1225"/>
      <c r="D3" s="1225"/>
      <c r="E3" s="1225"/>
      <c r="F3" s="1225"/>
      <c r="G3" s="1225"/>
      <c r="H3" s="1225"/>
      <c r="I3" s="1225"/>
      <c r="J3" s="1225"/>
      <c r="K3" s="1225"/>
      <c r="L3" s="1225"/>
      <c r="M3" s="1225"/>
      <c r="N3" s="1225"/>
      <c r="O3" s="1225"/>
      <c r="P3" s="1225"/>
      <c r="Q3" s="1225"/>
      <c r="R3" s="1225"/>
      <c r="S3" s="1225"/>
      <c r="T3" s="1225"/>
      <c r="U3" s="1225"/>
      <c r="V3" s="1225"/>
      <c r="W3" s="1225"/>
      <c r="X3" s="1225"/>
      <c r="Y3" s="1225"/>
      <c r="Z3" s="1225"/>
      <c r="AA3" s="1225"/>
      <c r="AB3" s="1225"/>
      <c r="AC3" s="1225"/>
      <c r="AD3" s="1225"/>
      <c r="AE3" s="1225"/>
      <c r="AF3" s="1225"/>
    </row>
    <row r="6" spans="1:33">
      <c r="A6" s="407" t="s">
        <v>1059</v>
      </c>
    </row>
    <row r="7" spans="1:33" s="515" customFormat="1" ht="18" customHeight="1">
      <c r="A7" s="538" t="s">
        <v>1060</v>
      </c>
      <c r="B7" s="1249" t="s">
        <v>1061</v>
      </c>
      <c r="C7" s="1250"/>
      <c r="D7" s="1250"/>
      <c r="E7" s="1250"/>
      <c r="F7" s="1216" t="s">
        <v>976</v>
      </c>
      <c r="G7" s="1217"/>
      <c r="H7" s="1217"/>
      <c r="I7" s="1218"/>
      <c r="J7" s="1217" t="s">
        <v>1062</v>
      </c>
      <c r="K7" s="1217"/>
      <c r="L7" s="1217"/>
      <c r="M7" s="1217"/>
      <c r="N7" s="1220" t="s">
        <v>1026</v>
      </c>
      <c r="O7" s="1221"/>
      <c r="P7" s="1221"/>
      <c r="Q7" s="1221"/>
      <c r="R7" s="1249" t="s">
        <v>1363</v>
      </c>
      <c r="S7" s="1250"/>
      <c r="T7" s="1251"/>
      <c r="U7" s="1220" t="s">
        <v>1101</v>
      </c>
      <c r="V7" s="1221"/>
      <c r="W7" s="1221"/>
      <c r="X7" s="1222"/>
      <c r="Y7" s="1248" t="s">
        <v>1364</v>
      </c>
      <c r="Z7" s="1221"/>
      <c r="AA7" s="1221"/>
      <c r="AB7" s="1222"/>
      <c r="AC7" s="1220" t="s">
        <v>706</v>
      </c>
      <c r="AD7" s="1221"/>
      <c r="AE7" s="1221"/>
      <c r="AF7" s="1222"/>
    </row>
    <row r="8" spans="1:33" s="515" customFormat="1" ht="18" customHeight="1">
      <c r="A8" s="389"/>
      <c r="B8" s="385">
        <f>+'57'!AH7</f>
        <v>2011</v>
      </c>
      <c r="C8" s="386">
        <f>+'57'!AI7</f>
        <v>2012</v>
      </c>
      <c r="D8" s="386">
        <f>+'57'!AJ7</f>
        <v>2013</v>
      </c>
      <c r="E8" s="386">
        <f>+'57'!AK7</f>
        <v>2014</v>
      </c>
      <c r="F8" s="385">
        <f t="shared" ref="F8:P8" si="0">+B8</f>
        <v>2011</v>
      </c>
      <c r="G8" s="386">
        <f t="shared" si="0"/>
        <v>2012</v>
      </c>
      <c r="H8" s="386">
        <f t="shared" si="0"/>
        <v>2013</v>
      </c>
      <c r="I8" s="386">
        <f t="shared" si="0"/>
        <v>2014</v>
      </c>
      <c r="J8" s="385">
        <f t="shared" si="0"/>
        <v>2011</v>
      </c>
      <c r="K8" s="386">
        <f t="shared" si="0"/>
        <v>2012</v>
      </c>
      <c r="L8" s="386">
        <f t="shared" si="0"/>
        <v>2013</v>
      </c>
      <c r="M8" s="387">
        <f t="shared" si="0"/>
        <v>2014</v>
      </c>
      <c r="N8" s="385">
        <f t="shared" si="0"/>
        <v>2011</v>
      </c>
      <c r="O8" s="386">
        <f t="shared" si="0"/>
        <v>2012</v>
      </c>
      <c r="P8" s="364">
        <f t="shared" si="0"/>
        <v>2013</v>
      </c>
      <c r="Q8" s="1169">
        <f>+M8</f>
        <v>2014</v>
      </c>
      <c r="R8" s="1168">
        <f>+O8</f>
        <v>2012</v>
      </c>
      <c r="S8" s="1168">
        <f>+P8</f>
        <v>2013</v>
      </c>
      <c r="T8" s="387">
        <f>+Q8</f>
        <v>2014</v>
      </c>
      <c r="U8" s="373">
        <f>+N8</f>
        <v>2011</v>
      </c>
      <c r="V8" s="386">
        <f>+O8</f>
        <v>2012</v>
      </c>
      <c r="W8" s="386">
        <f>+P8</f>
        <v>2013</v>
      </c>
      <c r="X8" s="386">
        <f>+Q8</f>
        <v>2014</v>
      </c>
      <c r="Y8" s="385">
        <f>+U8</f>
        <v>2011</v>
      </c>
      <c r="Z8" s="386">
        <f>+V8</f>
        <v>2012</v>
      </c>
      <c r="AA8" s="386">
        <f>+W8</f>
        <v>2013</v>
      </c>
      <c r="AB8" s="387">
        <f>+Q8</f>
        <v>2014</v>
      </c>
      <c r="AC8" s="386">
        <f>+N8</f>
        <v>2011</v>
      </c>
      <c r="AD8" s="386">
        <f>+O8</f>
        <v>2012</v>
      </c>
      <c r="AE8" s="386">
        <f>+P8</f>
        <v>2013</v>
      </c>
      <c r="AF8" s="387">
        <f>+Q8</f>
        <v>2014</v>
      </c>
      <c r="AG8" s="534"/>
    </row>
    <row r="9" spans="1:33" s="515" customFormat="1" ht="18" customHeight="1">
      <c r="A9" s="538" t="s">
        <v>1063</v>
      </c>
      <c r="B9" s="378">
        <v>3329</v>
      </c>
      <c r="C9" s="378">
        <v>3698</v>
      </c>
      <c r="D9" s="378">
        <v>3793</v>
      </c>
      <c r="E9" s="500">
        <v>3516</v>
      </c>
      <c r="F9" s="378">
        <v>2668</v>
      </c>
      <c r="G9" s="378">
        <v>2133</v>
      </c>
      <c r="H9" s="378">
        <v>2075</v>
      </c>
      <c r="I9" s="500">
        <v>2107</v>
      </c>
      <c r="J9" s="378"/>
      <c r="K9" s="378"/>
      <c r="L9" s="378"/>
      <c r="M9" s="378"/>
      <c r="N9" s="377"/>
      <c r="O9" s="378"/>
      <c r="P9" s="503"/>
      <c r="Q9" s="378"/>
      <c r="R9" s="377"/>
      <c r="S9" s="378"/>
      <c r="T9" s="500"/>
      <c r="U9" s="378"/>
      <c r="V9" s="378"/>
      <c r="W9" s="378"/>
      <c r="X9" s="378"/>
      <c r="Y9" s="377"/>
      <c r="Z9" s="378"/>
      <c r="AA9" s="378"/>
      <c r="AB9" s="500"/>
      <c r="AC9" s="377">
        <f t="shared" ref="AC9:AF10" si="1">+N9+J9+F9+B9</f>
        <v>5997</v>
      </c>
      <c r="AD9" s="378">
        <f t="shared" si="1"/>
        <v>5831</v>
      </c>
      <c r="AE9" s="378">
        <f t="shared" si="1"/>
        <v>5868</v>
      </c>
      <c r="AF9" s="500">
        <f t="shared" si="1"/>
        <v>5623</v>
      </c>
      <c r="AG9" s="532"/>
    </row>
    <row r="10" spans="1:33" s="515" customFormat="1" ht="18" customHeight="1">
      <c r="A10" s="540" t="s">
        <v>1064</v>
      </c>
      <c r="B10" s="378"/>
      <c r="C10" s="378"/>
      <c r="D10" s="378"/>
      <c r="E10" s="500"/>
      <c r="F10" s="378">
        <v>1</v>
      </c>
      <c r="G10" s="378"/>
      <c r="H10" s="378"/>
      <c r="I10" s="500"/>
      <c r="J10" s="378"/>
      <c r="K10" s="378"/>
      <c r="L10" s="378"/>
      <c r="M10" s="378"/>
      <c r="N10" s="377"/>
      <c r="O10" s="378"/>
      <c r="P10" s="378"/>
      <c r="Q10" s="378"/>
      <c r="R10" s="377"/>
      <c r="S10" s="378"/>
      <c r="T10" s="500"/>
      <c r="U10" s="378"/>
      <c r="V10" s="378"/>
      <c r="W10" s="378"/>
      <c r="X10" s="378"/>
      <c r="Y10" s="377"/>
      <c r="Z10" s="378"/>
      <c r="AA10" s="378"/>
      <c r="AB10" s="500"/>
      <c r="AC10" s="377">
        <f t="shared" si="1"/>
        <v>1</v>
      </c>
      <c r="AD10" s="378">
        <f t="shared" si="1"/>
        <v>0</v>
      </c>
      <c r="AE10" s="378">
        <f t="shared" si="1"/>
        <v>0</v>
      </c>
      <c r="AF10" s="500">
        <f t="shared" si="1"/>
        <v>0</v>
      </c>
      <c r="AG10" s="532"/>
    </row>
    <row r="11" spans="1:33" s="515" customFormat="1" ht="18" customHeight="1">
      <c r="A11" s="540" t="s">
        <v>1065</v>
      </c>
      <c r="B11" s="378">
        <v>766</v>
      </c>
      <c r="C11" s="378">
        <v>899</v>
      </c>
      <c r="D11" s="378">
        <v>1046</v>
      </c>
      <c r="E11" s="500">
        <v>1115</v>
      </c>
      <c r="F11" s="378"/>
      <c r="G11" s="378"/>
      <c r="H11" s="378"/>
      <c r="I11" s="500"/>
      <c r="J11" s="378"/>
      <c r="K11" s="378"/>
      <c r="L11" s="378"/>
      <c r="M11" s="378"/>
      <c r="N11" s="377"/>
      <c r="O11" s="378"/>
      <c r="P11" s="378"/>
      <c r="Q11" s="378"/>
      <c r="R11" s="377"/>
      <c r="S11" s="378"/>
      <c r="T11" s="500"/>
      <c r="U11" s="378"/>
      <c r="V11" s="378"/>
      <c r="W11" s="378"/>
      <c r="X11" s="378"/>
      <c r="Y11" s="377"/>
      <c r="Z11" s="378"/>
      <c r="AA11" s="378"/>
      <c r="AB11" s="500"/>
      <c r="AC11" s="377">
        <f t="shared" ref="AC11:AC35" si="2">+N11+J11+F11+B11</f>
        <v>766</v>
      </c>
      <c r="AD11" s="378">
        <f t="shared" ref="AD11:AD35" si="3">+O11+K11+G11+C11</f>
        <v>899</v>
      </c>
      <c r="AE11" s="378">
        <f t="shared" ref="AE11:AE28" si="4">+P11+L11+H11+D11</f>
        <v>1046</v>
      </c>
      <c r="AF11" s="500">
        <f t="shared" ref="AF11:AF28" si="5">+Q11+M11+I11+E11</f>
        <v>1115</v>
      </c>
      <c r="AG11" s="532"/>
    </row>
    <row r="12" spans="1:33" s="515" customFormat="1" ht="18" customHeight="1">
      <c r="A12" s="95" t="s">
        <v>1066</v>
      </c>
      <c r="B12" s="378"/>
      <c r="C12" s="378"/>
      <c r="D12" s="378"/>
      <c r="E12" s="500"/>
      <c r="F12" s="378"/>
      <c r="G12" s="378"/>
      <c r="H12" s="378"/>
      <c r="I12" s="500"/>
      <c r="J12" s="378"/>
      <c r="K12" s="378"/>
      <c r="L12" s="378"/>
      <c r="M12" s="378"/>
      <c r="N12" s="377"/>
      <c r="O12" s="378"/>
      <c r="P12" s="378"/>
      <c r="Q12" s="378"/>
      <c r="R12" s="377"/>
      <c r="S12" s="378"/>
      <c r="T12" s="500"/>
      <c r="U12" s="378"/>
      <c r="V12" s="378"/>
      <c r="W12" s="378"/>
      <c r="X12" s="378"/>
      <c r="Y12" s="377"/>
      <c r="Z12" s="378"/>
      <c r="AA12" s="378"/>
      <c r="AB12" s="500"/>
      <c r="AC12" s="377">
        <f>+N12+J12+F12+B12</f>
        <v>0</v>
      </c>
      <c r="AD12" s="378">
        <f>+O12+K12+G12+C12</f>
        <v>0</v>
      </c>
      <c r="AE12" s="378">
        <f>+P12+L12+H12+D12</f>
        <v>0</v>
      </c>
      <c r="AF12" s="500">
        <f>+Q12+M12+I12+E12</f>
        <v>0</v>
      </c>
      <c r="AG12" s="532"/>
    </row>
    <row r="13" spans="1:33" s="515" customFormat="1" ht="18" customHeight="1">
      <c r="A13" s="540" t="s">
        <v>1067</v>
      </c>
      <c r="B13" s="378">
        <v>488</v>
      </c>
      <c r="C13" s="378">
        <v>476</v>
      </c>
      <c r="D13" s="378">
        <v>514</v>
      </c>
      <c r="E13" s="500">
        <v>526</v>
      </c>
      <c r="F13" s="378"/>
      <c r="G13" s="378"/>
      <c r="H13" s="378"/>
      <c r="I13" s="500"/>
      <c r="J13" s="378"/>
      <c r="K13" s="378"/>
      <c r="L13" s="378"/>
      <c r="M13" s="378"/>
      <c r="N13" s="377"/>
      <c r="O13" s="378"/>
      <c r="P13" s="378"/>
      <c r="Q13" s="378"/>
      <c r="R13" s="377"/>
      <c r="S13" s="378"/>
      <c r="T13" s="500"/>
      <c r="U13" s="378"/>
      <c r="V13" s="378"/>
      <c r="W13" s="378"/>
      <c r="X13" s="378"/>
      <c r="Y13" s="377"/>
      <c r="Z13" s="378"/>
      <c r="AA13" s="378"/>
      <c r="AB13" s="500"/>
      <c r="AC13" s="377">
        <f t="shared" si="2"/>
        <v>488</v>
      </c>
      <c r="AD13" s="378">
        <f t="shared" si="3"/>
        <v>476</v>
      </c>
      <c r="AE13" s="378">
        <f t="shared" si="4"/>
        <v>514</v>
      </c>
      <c r="AF13" s="500">
        <f t="shared" si="5"/>
        <v>526</v>
      </c>
      <c r="AG13" s="532"/>
    </row>
    <row r="14" spans="1:33" s="515" customFormat="1" ht="18" customHeight="1">
      <c r="A14" s="540" t="s">
        <v>1068</v>
      </c>
      <c r="B14" s="378"/>
      <c r="C14" s="378"/>
      <c r="D14" s="378"/>
      <c r="E14" s="500"/>
      <c r="F14" s="378"/>
      <c r="G14" s="378">
        <v>6</v>
      </c>
      <c r="H14" s="378"/>
      <c r="I14" s="500"/>
      <c r="J14" s="378"/>
      <c r="K14" s="378"/>
      <c r="L14" s="378"/>
      <c r="M14" s="378"/>
      <c r="N14" s="377"/>
      <c r="O14" s="378"/>
      <c r="P14" s="378"/>
      <c r="Q14" s="378"/>
      <c r="R14" s="377"/>
      <c r="S14" s="378"/>
      <c r="T14" s="500"/>
      <c r="U14" s="378"/>
      <c r="V14" s="378"/>
      <c r="W14" s="378"/>
      <c r="X14" s="378"/>
      <c r="Y14" s="377"/>
      <c r="Z14" s="378"/>
      <c r="AA14" s="378"/>
      <c r="AB14" s="500"/>
      <c r="AC14" s="377">
        <f>+N14+J14+F14+B14</f>
        <v>0</v>
      </c>
      <c r="AD14" s="378">
        <f>+O14+K14+G14+C14</f>
        <v>6</v>
      </c>
      <c r="AE14" s="378">
        <f t="shared" si="4"/>
        <v>0</v>
      </c>
      <c r="AF14" s="500">
        <f t="shared" si="5"/>
        <v>0</v>
      </c>
      <c r="AG14" s="532"/>
    </row>
    <row r="15" spans="1:33" s="515" customFormat="1" ht="18" customHeight="1">
      <c r="A15" s="540" t="s">
        <v>1069</v>
      </c>
      <c r="B15" s="378"/>
      <c r="C15" s="378"/>
      <c r="D15" s="378"/>
      <c r="E15" s="500"/>
      <c r="F15" s="378"/>
      <c r="G15" s="378"/>
      <c r="H15" s="378"/>
      <c r="I15" s="500"/>
      <c r="J15" s="378"/>
      <c r="K15" s="378"/>
      <c r="L15" s="378"/>
      <c r="M15" s="378"/>
      <c r="N15" s="377"/>
      <c r="O15" s="378"/>
      <c r="P15" s="378"/>
      <c r="Q15" s="378"/>
      <c r="R15" s="377"/>
      <c r="S15" s="378"/>
      <c r="T15" s="500"/>
      <c r="U15" s="378"/>
      <c r="V15" s="378"/>
      <c r="W15" s="378"/>
      <c r="X15" s="378"/>
      <c r="Y15" s="377"/>
      <c r="Z15" s="378"/>
      <c r="AA15" s="378"/>
      <c r="AB15" s="500"/>
      <c r="AC15" s="377">
        <f>+N15+J15+F15+B15</f>
        <v>0</v>
      </c>
      <c r="AD15" s="378">
        <f>+O15+K15+G15+C15</f>
        <v>0</v>
      </c>
      <c r="AE15" s="378">
        <f>+P15+L15+H15+D15</f>
        <v>0</v>
      </c>
      <c r="AF15" s="500">
        <f>+Q15+M15+I15+E15</f>
        <v>0</v>
      </c>
      <c r="AG15" s="532"/>
    </row>
    <row r="16" spans="1:33" s="515" customFormat="1" ht="18" customHeight="1">
      <c r="A16" s="540" t="s">
        <v>1070</v>
      </c>
      <c r="B16" s="378"/>
      <c r="C16" s="378"/>
      <c r="D16" s="378"/>
      <c r="E16" s="500"/>
      <c r="F16" s="378"/>
      <c r="G16" s="378"/>
      <c r="H16" s="378"/>
      <c r="I16" s="500"/>
      <c r="J16" s="378"/>
      <c r="K16" s="378"/>
      <c r="L16" s="378"/>
      <c r="M16" s="378"/>
      <c r="N16" s="377"/>
      <c r="O16" s="378"/>
      <c r="P16" s="378"/>
      <c r="Q16" s="378"/>
      <c r="R16" s="377"/>
      <c r="S16" s="378"/>
      <c r="T16" s="500"/>
      <c r="U16" s="378"/>
      <c r="V16" s="378"/>
      <c r="W16" s="378"/>
      <c r="X16" s="378"/>
      <c r="Y16" s="377"/>
      <c r="Z16" s="378"/>
      <c r="AA16" s="378"/>
      <c r="AB16" s="500"/>
      <c r="AC16" s="377">
        <f t="shared" si="2"/>
        <v>0</v>
      </c>
      <c r="AD16" s="378">
        <f t="shared" si="3"/>
        <v>0</v>
      </c>
      <c r="AE16" s="378">
        <f t="shared" si="4"/>
        <v>0</v>
      </c>
      <c r="AF16" s="500">
        <f t="shared" si="5"/>
        <v>0</v>
      </c>
      <c r="AG16" s="532"/>
    </row>
    <row r="17" spans="1:33" s="515" customFormat="1" ht="18" customHeight="1">
      <c r="A17" s="540" t="s">
        <v>1071</v>
      </c>
      <c r="B17" s="378"/>
      <c r="C17" s="378"/>
      <c r="D17" s="378"/>
      <c r="E17" s="500"/>
      <c r="F17" s="378"/>
      <c r="G17" s="378"/>
      <c r="H17" s="378"/>
      <c r="I17" s="500"/>
      <c r="J17" s="378"/>
      <c r="K17" s="378"/>
      <c r="L17" s="378"/>
      <c r="M17" s="378"/>
      <c r="N17" s="377"/>
      <c r="O17" s="378"/>
      <c r="P17" s="378"/>
      <c r="Q17" s="378"/>
      <c r="R17" s="377"/>
      <c r="S17" s="378"/>
      <c r="T17" s="500"/>
      <c r="U17" s="378"/>
      <c r="V17" s="378"/>
      <c r="W17" s="378"/>
      <c r="X17" s="378"/>
      <c r="Y17" s="377"/>
      <c r="Z17" s="378"/>
      <c r="AA17" s="378"/>
      <c r="AB17" s="500"/>
      <c r="AC17" s="377">
        <f>+N17+J17+F17+B17</f>
        <v>0</v>
      </c>
      <c r="AD17" s="378">
        <f>+O17+K17+G17+C17</f>
        <v>0</v>
      </c>
      <c r="AE17" s="378">
        <f t="shared" si="4"/>
        <v>0</v>
      </c>
      <c r="AF17" s="500">
        <f t="shared" si="5"/>
        <v>0</v>
      </c>
      <c r="AG17" s="532"/>
    </row>
    <row r="18" spans="1:33" s="515" customFormat="1" ht="18" customHeight="1">
      <c r="A18" s="540" t="s">
        <v>1072</v>
      </c>
      <c r="B18" s="378"/>
      <c r="C18" s="378"/>
      <c r="D18" s="378"/>
      <c r="E18" s="500"/>
      <c r="F18" s="378"/>
      <c r="G18" s="378"/>
      <c r="H18" s="378"/>
      <c r="I18" s="500"/>
      <c r="J18" s="378"/>
      <c r="K18" s="378"/>
      <c r="L18" s="378"/>
      <c r="M18" s="378"/>
      <c r="N18" s="377"/>
      <c r="O18" s="378"/>
      <c r="P18" s="378"/>
      <c r="Q18" s="378"/>
      <c r="R18" s="377"/>
      <c r="S18" s="378"/>
      <c r="T18" s="500"/>
      <c r="U18" s="378"/>
      <c r="V18" s="378"/>
      <c r="W18" s="378"/>
      <c r="X18" s="378"/>
      <c r="Y18" s="377"/>
      <c r="Z18" s="378"/>
      <c r="AA18" s="378"/>
      <c r="AB18" s="500"/>
      <c r="AC18" s="377">
        <f>+N18+J18+F18+B18</f>
        <v>0</v>
      </c>
      <c r="AD18" s="378">
        <f>+O18+K18+G18+C18</f>
        <v>0</v>
      </c>
      <c r="AE18" s="378">
        <f>+P18+L18+H18+D18</f>
        <v>0</v>
      </c>
      <c r="AF18" s="500">
        <f>+Q18+M18+I18+E18</f>
        <v>0</v>
      </c>
      <c r="AG18" s="532"/>
    </row>
    <row r="19" spans="1:33" s="515" customFormat="1" ht="18" customHeight="1">
      <c r="A19" s="540" t="s">
        <v>1073</v>
      </c>
      <c r="B19" s="378"/>
      <c r="C19" s="378"/>
      <c r="D19" s="378"/>
      <c r="E19" s="500"/>
      <c r="F19" s="378">
        <v>633</v>
      </c>
      <c r="G19" s="378">
        <v>567</v>
      </c>
      <c r="H19" s="378">
        <v>604</v>
      </c>
      <c r="I19" s="500">
        <v>585</v>
      </c>
      <c r="J19" s="378"/>
      <c r="K19" s="378"/>
      <c r="L19" s="378"/>
      <c r="M19" s="378"/>
      <c r="N19" s="377"/>
      <c r="O19" s="378"/>
      <c r="P19" s="378"/>
      <c r="Q19" s="378"/>
      <c r="R19" s="377"/>
      <c r="S19" s="378"/>
      <c r="T19" s="500"/>
      <c r="U19" s="378"/>
      <c r="V19" s="378"/>
      <c r="W19" s="378"/>
      <c r="X19" s="378"/>
      <c r="Y19" s="377"/>
      <c r="Z19" s="378"/>
      <c r="AA19" s="378"/>
      <c r="AB19" s="500"/>
      <c r="AC19" s="377">
        <f t="shared" si="2"/>
        <v>633</v>
      </c>
      <c r="AD19" s="378">
        <f t="shared" si="3"/>
        <v>567</v>
      </c>
      <c r="AE19" s="378">
        <f t="shared" si="4"/>
        <v>604</v>
      </c>
      <c r="AF19" s="500">
        <f t="shared" si="5"/>
        <v>585</v>
      </c>
      <c r="AG19" s="532"/>
    </row>
    <row r="20" spans="1:33" s="515" customFormat="1" ht="18" customHeight="1">
      <c r="A20" s="540" t="s">
        <v>1074</v>
      </c>
      <c r="B20" s="378"/>
      <c r="C20" s="378"/>
      <c r="D20" s="378"/>
      <c r="E20" s="500"/>
      <c r="F20" s="378">
        <v>9</v>
      </c>
      <c r="G20" s="378">
        <v>28</v>
      </c>
      <c r="H20" s="378">
        <v>23</v>
      </c>
      <c r="I20" s="500">
        <v>27</v>
      </c>
      <c r="J20" s="378"/>
      <c r="K20" s="378"/>
      <c r="L20" s="378"/>
      <c r="M20" s="378"/>
      <c r="N20" s="377"/>
      <c r="O20" s="378"/>
      <c r="P20" s="378"/>
      <c r="Q20" s="378"/>
      <c r="R20" s="377"/>
      <c r="S20" s="378"/>
      <c r="T20" s="500"/>
      <c r="U20" s="378"/>
      <c r="V20" s="378"/>
      <c r="W20" s="378"/>
      <c r="X20" s="378"/>
      <c r="Y20" s="377"/>
      <c r="Z20" s="378"/>
      <c r="AA20" s="378"/>
      <c r="AB20" s="500"/>
      <c r="AC20" s="377">
        <f>+N20+J20+F20+B20</f>
        <v>9</v>
      </c>
      <c r="AD20" s="378">
        <f>+O20+K20+G20+C20</f>
        <v>28</v>
      </c>
      <c r="AE20" s="378">
        <f t="shared" si="4"/>
        <v>23</v>
      </c>
      <c r="AF20" s="500">
        <f t="shared" si="5"/>
        <v>27</v>
      </c>
      <c r="AG20" s="532"/>
    </row>
    <row r="21" spans="1:33" s="515" customFormat="1" ht="18" customHeight="1">
      <c r="A21" s="1077" t="s">
        <v>863</v>
      </c>
      <c r="B21" s="378"/>
      <c r="C21" s="378"/>
      <c r="D21" s="378"/>
      <c r="E21" s="500"/>
      <c r="F21" s="378"/>
      <c r="G21" s="378"/>
      <c r="H21" s="378"/>
      <c r="I21" s="500">
        <v>3</v>
      </c>
      <c r="J21" s="378"/>
      <c r="K21" s="378"/>
      <c r="L21" s="378"/>
      <c r="M21" s="500"/>
      <c r="N21" s="378"/>
      <c r="O21" s="378"/>
      <c r="P21" s="378"/>
      <c r="Q21" s="378"/>
      <c r="R21" s="377"/>
      <c r="S21" s="378"/>
      <c r="T21" s="500"/>
      <c r="U21" s="378"/>
      <c r="V21" s="378"/>
      <c r="W21" s="378"/>
      <c r="X21" s="378"/>
      <c r="Y21" s="377"/>
      <c r="Z21" s="378"/>
      <c r="AA21" s="378"/>
      <c r="AB21" s="500"/>
      <c r="AC21" s="377">
        <f>+N21+J21+F21+B21</f>
        <v>0</v>
      </c>
      <c r="AD21" s="378">
        <f>+O21+K21+G21+C21</f>
        <v>0</v>
      </c>
      <c r="AE21" s="378">
        <f>+P21+L21+H21+D21</f>
        <v>0</v>
      </c>
      <c r="AF21" s="500">
        <f>+Q21+M21+I21+E21</f>
        <v>3</v>
      </c>
      <c r="AG21" s="532"/>
    </row>
    <row r="22" spans="1:33" s="515" customFormat="1" ht="18" customHeight="1">
      <c r="A22" s="540" t="s">
        <v>1075</v>
      </c>
      <c r="B22" s="378">
        <v>1306</v>
      </c>
      <c r="C22" s="378">
        <v>2367</v>
      </c>
      <c r="D22" s="378">
        <v>2575</v>
      </c>
      <c r="E22" s="500">
        <v>2238</v>
      </c>
      <c r="F22" s="378"/>
      <c r="G22" s="378"/>
      <c r="H22" s="378"/>
      <c r="I22" s="500"/>
      <c r="J22" s="378"/>
      <c r="K22" s="378"/>
      <c r="L22" s="378"/>
      <c r="M22" s="500"/>
      <c r="N22" s="378"/>
      <c r="O22" s="378"/>
      <c r="P22" s="378"/>
      <c r="Q22" s="378"/>
      <c r="R22" s="377"/>
      <c r="S22" s="378"/>
      <c r="T22" s="500"/>
      <c r="U22" s="378"/>
      <c r="V22" s="378"/>
      <c r="W22" s="378"/>
      <c r="X22" s="378"/>
      <c r="Y22" s="377"/>
      <c r="Z22" s="378"/>
      <c r="AA22" s="378"/>
      <c r="AB22" s="500"/>
      <c r="AC22" s="377">
        <f t="shared" si="2"/>
        <v>1306</v>
      </c>
      <c r="AD22" s="378">
        <f t="shared" si="3"/>
        <v>2367</v>
      </c>
      <c r="AE22" s="378">
        <f t="shared" si="4"/>
        <v>2575</v>
      </c>
      <c r="AF22" s="500">
        <f t="shared" si="5"/>
        <v>2238</v>
      </c>
      <c r="AG22" s="532"/>
    </row>
    <row r="23" spans="1:33" s="515" customFormat="1" ht="18" customHeight="1">
      <c r="A23" s="540" t="s">
        <v>1076</v>
      </c>
      <c r="B23" s="378"/>
      <c r="C23" s="378"/>
      <c r="D23" s="378"/>
      <c r="E23" s="500"/>
      <c r="F23" s="378"/>
      <c r="G23" s="378"/>
      <c r="H23" s="378"/>
      <c r="I23" s="500"/>
      <c r="J23" s="378"/>
      <c r="K23" s="378"/>
      <c r="L23" s="378"/>
      <c r="M23" s="500"/>
      <c r="N23" s="378">
        <v>446</v>
      </c>
      <c r="O23" s="378">
        <v>487</v>
      </c>
      <c r="P23" s="378">
        <v>244</v>
      </c>
      <c r="Q23" s="378">
        <v>252</v>
      </c>
      <c r="R23" s="377">
        <v>2</v>
      </c>
      <c r="S23" s="378"/>
      <c r="T23" s="500"/>
      <c r="U23" s="378"/>
      <c r="V23" s="378"/>
      <c r="W23" s="378"/>
      <c r="X23" s="378"/>
      <c r="Y23" s="377"/>
      <c r="Z23" s="378"/>
      <c r="AA23" s="378"/>
      <c r="AB23" s="500"/>
      <c r="AC23" s="377">
        <f t="shared" si="2"/>
        <v>446</v>
      </c>
      <c r="AD23" s="378">
        <f>+O23+K23+G23+C23+R23</f>
        <v>489</v>
      </c>
      <c r="AE23" s="378">
        <f>+P23+L23+H23+D23+S23</f>
        <v>244</v>
      </c>
      <c r="AF23" s="541">
        <f>+Q23+M23+I23+E23+T23+X23+AB23</f>
        <v>252</v>
      </c>
      <c r="AG23" s="532"/>
    </row>
    <row r="24" spans="1:33" s="515" customFormat="1" ht="18" customHeight="1">
      <c r="A24" s="540" t="s">
        <v>1077</v>
      </c>
      <c r="B24" s="378">
        <v>1831</v>
      </c>
      <c r="C24" s="378">
        <v>1852</v>
      </c>
      <c r="D24" s="378">
        <v>1476</v>
      </c>
      <c r="E24" s="500">
        <v>1137</v>
      </c>
      <c r="F24" s="378">
        <v>868</v>
      </c>
      <c r="G24" s="378">
        <v>824</v>
      </c>
      <c r="H24" s="378">
        <v>580</v>
      </c>
      <c r="I24" s="500">
        <v>96</v>
      </c>
      <c r="J24" s="378"/>
      <c r="K24" s="378"/>
      <c r="L24" s="378"/>
      <c r="M24" s="500"/>
      <c r="N24" s="378"/>
      <c r="O24" s="378"/>
      <c r="P24" s="378"/>
      <c r="Q24" s="378"/>
      <c r="R24" s="377"/>
      <c r="S24" s="378"/>
      <c r="T24" s="500"/>
      <c r="U24" s="378"/>
      <c r="V24" s="378"/>
      <c r="W24" s="378"/>
      <c r="X24" s="378"/>
      <c r="Y24" s="377"/>
      <c r="Z24" s="378"/>
      <c r="AA24" s="378"/>
      <c r="AB24" s="500"/>
      <c r="AC24" s="377">
        <f t="shared" si="2"/>
        <v>2699</v>
      </c>
      <c r="AD24" s="378">
        <f t="shared" si="3"/>
        <v>2676</v>
      </c>
      <c r="AE24" s="378">
        <f t="shared" si="4"/>
        <v>2056</v>
      </c>
      <c r="AF24" s="500">
        <f t="shared" si="5"/>
        <v>1233</v>
      </c>
      <c r="AG24" s="532"/>
    </row>
    <row r="25" spans="1:33" s="515" customFormat="1" ht="18" customHeight="1">
      <c r="A25" s="95" t="s">
        <v>1078</v>
      </c>
      <c r="B25" s="378"/>
      <c r="C25" s="378"/>
      <c r="D25" s="378"/>
      <c r="E25" s="500"/>
      <c r="F25" s="378"/>
      <c r="G25" s="378"/>
      <c r="H25" s="378"/>
      <c r="I25" s="500"/>
      <c r="J25" s="378"/>
      <c r="K25" s="378"/>
      <c r="L25" s="378"/>
      <c r="M25" s="500"/>
      <c r="N25" s="378"/>
      <c r="O25" s="378"/>
      <c r="P25" s="378"/>
      <c r="Q25" s="378"/>
      <c r="R25" s="377"/>
      <c r="S25" s="378"/>
      <c r="T25" s="500"/>
      <c r="U25" s="378"/>
      <c r="V25" s="378"/>
      <c r="W25" s="378"/>
      <c r="X25" s="378"/>
      <c r="Y25" s="377"/>
      <c r="Z25" s="378"/>
      <c r="AA25" s="378"/>
      <c r="AB25" s="500"/>
      <c r="AC25" s="377">
        <f t="shared" ref="AC25:AF27" si="6">+N25+J25+F25+B25</f>
        <v>0</v>
      </c>
      <c r="AD25" s="378">
        <f t="shared" si="6"/>
        <v>0</v>
      </c>
      <c r="AE25" s="378">
        <f t="shared" si="6"/>
        <v>0</v>
      </c>
      <c r="AF25" s="500">
        <f t="shared" si="6"/>
        <v>0</v>
      </c>
      <c r="AG25" s="532"/>
    </row>
    <row r="26" spans="1:33" s="515" customFormat="1" ht="18" customHeight="1">
      <c r="A26" s="1077" t="s">
        <v>1198</v>
      </c>
      <c r="B26" s="378"/>
      <c r="C26" s="378"/>
      <c r="D26" s="378"/>
      <c r="E26" s="500"/>
      <c r="F26" s="378">
        <v>6</v>
      </c>
      <c r="G26" s="378"/>
      <c r="H26" s="378"/>
      <c r="I26" s="500"/>
      <c r="J26" s="378"/>
      <c r="K26" s="378"/>
      <c r="L26" s="378"/>
      <c r="M26" s="500"/>
      <c r="N26" s="378"/>
      <c r="O26" s="378"/>
      <c r="P26" s="378"/>
      <c r="Q26" s="378"/>
      <c r="R26" s="377"/>
      <c r="S26" s="378"/>
      <c r="T26" s="500"/>
      <c r="U26" s="378"/>
      <c r="V26" s="378"/>
      <c r="W26" s="378"/>
      <c r="X26" s="378"/>
      <c r="Y26" s="377"/>
      <c r="Z26" s="378"/>
      <c r="AA26" s="378"/>
      <c r="AB26" s="500"/>
      <c r="AC26" s="377">
        <f t="shared" si="6"/>
        <v>6</v>
      </c>
      <c r="AD26" s="378">
        <f t="shared" si="6"/>
        <v>0</v>
      </c>
      <c r="AE26" s="378">
        <f t="shared" si="6"/>
        <v>0</v>
      </c>
      <c r="AF26" s="500">
        <f t="shared" si="6"/>
        <v>0</v>
      </c>
      <c r="AG26" s="532"/>
    </row>
    <row r="27" spans="1:33" s="515" customFormat="1" ht="18" customHeight="1">
      <c r="A27" s="95" t="s">
        <v>1079</v>
      </c>
      <c r="B27" s="378"/>
      <c r="C27" s="378"/>
      <c r="D27" s="378"/>
      <c r="E27" s="500"/>
      <c r="F27" s="378">
        <v>19</v>
      </c>
      <c r="G27" s="378">
        <v>9</v>
      </c>
      <c r="H27" s="378">
        <v>9</v>
      </c>
      <c r="I27" s="500">
        <v>37</v>
      </c>
      <c r="J27" s="378"/>
      <c r="K27" s="378"/>
      <c r="L27" s="378"/>
      <c r="M27" s="500"/>
      <c r="N27" s="378"/>
      <c r="O27" s="378"/>
      <c r="P27" s="378"/>
      <c r="Q27" s="378"/>
      <c r="R27" s="377"/>
      <c r="S27" s="378"/>
      <c r="T27" s="500"/>
      <c r="U27" s="378"/>
      <c r="V27" s="378"/>
      <c r="W27" s="378"/>
      <c r="X27" s="378"/>
      <c r="Y27" s="377"/>
      <c r="Z27" s="378"/>
      <c r="AA27" s="378"/>
      <c r="AB27" s="500"/>
      <c r="AC27" s="377">
        <f t="shared" si="6"/>
        <v>19</v>
      </c>
      <c r="AD27" s="378">
        <f t="shared" si="6"/>
        <v>9</v>
      </c>
      <c r="AE27" s="378">
        <f t="shared" si="6"/>
        <v>9</v>
      </c>
      <c r="AF27" s="500">
        <f t="shared" si="6"/>
        <v>37</v>
      </c>
      <c r="AG27" s="532"/>
    </row>
    <row r="28" spans="1:33" s="515" customFormat="1" ht="18" customHeight="1">
      <c r="A28" s="540" t="s">
        <v>1080</v>
      </c>
      <c r="B28" s="378">
        <v>78</v>
      </c>
      <c r="C28" s="378">
        <v>60</v>
      </c>
      <c r="D28" s="378">
        <v>65</v>
      </c>
      <c r="E28" s="500">
        <v>67</v>
      </c>
      <c r="F28" s="378"/>
      <c r="G28" s="378"/>
      <c r="H28" s="378"/>
      <c r="I28" s="500"/>
      <c r="J28" s="378"/>
      <c r="K28" s="378"/>
      <c r="L28" s="378"/>
      <c r="M28" s="500"/>
      <c r="N28" s="378"/>
      <c r="O28" s="378"/>
      <c r="P28" s="378"/>
      <c r="Q28" s="378"/>
      <c r="R28" s="377"/>
      <c r="S28" s="378"/>
      <c r="T28" s="500"/>
      <c r="U28" s="378"/>
      <c r="V28" s="378"/>
      <c r="W28" s="378"/>
      <c r="X28" s="378"/>
      <c r="Y28" s="377"/>
      <c r="Z28" s="378"/>
      <c r="AA28" s="378"/>
      <c r="AB28" s="500"/>
      <c r="AC28" s="377">
        <f t="shared" si="2"/>
        <v>78</v>
      </c>
      <c r="AD28" s="378">
        <f t="shared" si="3"/>
        <v>60</v>
      </c>
      <c r="AE28" s="378">
        <f t="shared" si="4"/>
        <v>65</v>
      </c>
      <c r="AF28" s="500">
        <f t="shared" si="5"/>
        <v>67</v>
      </c>
      <c r="AG28" s="532"/>
    </row>
    <row r="29" spans="1:33" s="515" customFormat="1" ht="18" customHeight="1">
      <c r="A29" s="540" t="s">
        <v>1081</v>
      </c>
      <c r="B29" s="378">
        <v>1</v>
      </c>
      <c r="C29" s="378"/>
      <c r="D29" s="378"/>
      <c r="E29" s="500"/>
      <c r="F29" s="378">
        <v>1</v>
      </c>
      <c r="G29" s="378"/>
      <c r="H29" s="378"/>
      <c r="I29" s="500"/>
      <c r="J29" s="378">
        <v>1</v>
      </c>
      <c r="K29" s="378"/>
      <c r="L29" s="378"/>
      <c r="M29" s="500"/>
      <c r="N29" s="378"/>
      <c r="O29" s="378"/>
      <c r="P29" s="378"/>
      <c r="Q29" s="378"/>
      <c r="R29" s="377"/>
      <c r="S29" s="378"/>
      <c r="T29" s="500"/>
      <c r="U29" s="378"/>
      <c r="V29" s="378"/>
      <c r="W29" s="378"/>
      <c r="X29" s="378"/>
      <c r="Y29" s="377"/>
      <c r="Z29" s="378"/>
      <c r="AA29" s="378"/>
      <c r="AB29" s="500"/>
      <c r="AC29" s="377">
        <f t="shared" si="2"/>
        <v>3</v>
      </c>
      <c r="AD29" s="378">
        <f>+O29+K29+G29+C29+V29</f>
        <v>0</v>
      </c>
      <c r="AE29" s="378">
        <f>+P29+L29+H29+D29+W29</f>
        <v>0</v>
      </c>
      <c r="AF29" s="541">
        <f>+AB29+X29+Q29+M29+I29+E29</f>
        <v>0</v>
      </c>
      <c r="AG29" s="532"/>
    </row>
    <row r="30" spans="1:33" s="515" customFormat="1" ht="18" customHeight="1">
      <c r="A30" s="540" t="s">
        <v>1082</v>
      </c>
      <c r="B30" s="378">
        <v>1</v>
      </c>
      <c r="C30" s="378"/>
      <c r="D30" s="378">
        <v>7</v>
      </c>
      <c r="E30" s="500"/>
      <c r="F30" s="378"/>
      <c r="G30" s="378"/>
      <c r="H30" s="378"/>
      <c r="I30" s="500"/>
      <c r="J30" s="378"/>
      <c r="K30" s="378"/>
      <c r="L30" s="378"/>
      <c r="M30" s="500"/>
      <c r="N30" s="378"/>
      <c r="O30" s="378"/>
      <c r="P30" s="378"/>
      <c r="Q30" s="378"/>
      <c r="R30" s="377"/>
      <c r="S30" s="378"/>
      <c r="T30" s="500"/>
      <c r="U30" s="378"/>
      <c r="V30" s="378"/>
      <c r="W30" s="378"/>
      <c r="X30" s="378"/>
      <c r="Y30" s="377"/>
      <c r="Z30" s="378"/>
      <c r="AA30" s="378"/>
      <c r="AB30" s="500"/>
      <c r="AC30" s="377">
        <f>+N30+J30+F30+B30+U30</f>
        <v>1</v>
      </c>
      <c r="AD30" s="378">
        <f>+O30+K30+G30+C30+V30</f>
        <v>0</v>
      </c>
      <c r="AE30" s="378">
        <f>+P30+L30+H30+D30+W30</f>
        <v>7</v>
      </c>
      <c r="AF30" s="541">
        <f>+AB30+X30+Q30+M30+I30+E30</f>
        <v>0</v>
      </c>
      <c r="AG30" s="532"/>
    </row>
    <row r="31" spans="1:33" s="515" customFormat="1" ht="18" customHeight="1">
      <c r="A31" s="540" t="s">
        <v>1083</v>
      </c>
      <c r="B31" s="378">
        <v>919</v>
      </c>
      <c r="C31" s="378">
        <v>508</v>
      </c>
      <c r="D31" s="378">
        <v>504</v>
      </c>
      <c r="E31" s="500">
        <v>422</v>
      </c>
      <c r="F31" s="378"/>
      <c r="G31" s="378"/>
      <c r="H31" s="378"/>
      <c r="I31" s="500"/>
      <c r="J31" s="378"/>
      <c r="K31" s="378"/>
      <c r="L31" s="378"/>
      <c r="M31" s="500"/>
      <c r="N31" s="378"/>
      <c r="O31" s="378"/>
      <c r="P31" s="378"/>
      <c r="Q31" s="378"/>
      <c r="R31" s="377"/>
      <c r="S31" s="378"/>
      <c r="T31" s="500"/>
      <c r="U31" s="378"/>
      <c r="V31" s="378"/>
      <c r="W31" s="378"/>
      <c r="X31" s="378"/>
      <c r="Y31" s="377"/>
      <c r="Z31" s="378">
        <v>28</v>
      </c>
      <c r="AA31" s="378"/>
      <c r="AB31" s="500"/>
      <c r="AC31" s="377">
        <f t="shared" si="2"/>
        <v>919</v>
      </c>
      <c r="AD31" s="378">
        <f>+O31+K31+G31+C31+Z31</f>
        <v>536</v>
      </c>
      <c r="AE31" s="378">
        <f>+P31+L31+H31+D31+AA31</f>
        <v>504</v>
      </c>
      <c r="AF31" s="541">
        <f>+AB31+X31+Q31+M31+I31+E31</f>
        <v>422</v>
      </c>
      <c r="AG31" s="532"/>
    </row>
    <row r="32" spans="1:33" s="515" customFormat="1" ht="18" customHeight="1">
      <c r="A32" s="540" t="s">
        <v>1084</v>
      </c>
      <c r="B32" s="378">
        <v>1917</v>
      </c>
      <c r="C32" s="378">
        <v>595</v>
      </c>
      <c r="D32" s="378">
        <v>529</v>
      </c>
      <c r="E32" s="500">
        <v>614</v>
      </c>
      <c r="F32" s="378"/>
      <c r="G32" s="378"/>
      <c r="H32" s="378"/>
      <c r="I32" s="500"/>
      <c r="J32" s="378"/>
      <c r="K32" s="378"/>
      <c r="L32" s="378"/>
      <c r="M32" s="500"/>
      <c r="N32" s="378"/>
      <c r="O32" s="378"/>
      <c r="P32" s="378"/>
      <c r="Q32" s="378"/>
      <c r="R32" s="377"/>
      <c r="S32" s="378"/>
      <c r="T32" s="500"/>
      <c r="U32" s="378"/>
      <c r="V32" s="378"/>
      <c r="W32" s="378"/>
      <c r="X32" s="378"/>
      <c r="Y32" s="377"/>
      <c r="Z32" s="378"/>
      <c r="AA32" s="378"/>
      <c r="AB32" s="500"/>
      <c r="AC32" s="377">
        <f t="shared" si="2"/>
        <v>1917</v>
      </c>
      <c r="AD32" s="378">
        <f t="shared" si="3"/>
        <v>595</v>
      </c>
      <c r="AE32" s="378">
        <f>+P32+L32+H32+D32</f>
        <v>529</v>
      </c>
      <c r="AF32" s="541">
        <f>+AB32+X32+Q32+M32+I32+E32</f>
        <v>614</v>
      </c>
      <c r="AG32" s="532"/>
    </row>
    <row r="33" spans="1:33" s="515" customFormat="1" ht="18" customHeight="1">
      <c r="A33" s="540" t="s">
        <v>1085</v>
      </c>
      <c r="B33" s="378"/>
      <c r="C33" s="378"/>
      <c r="D33" s="378"/>
      <c r="E33" s="500"/>
      <c r="F33" s="378">
        <v>1531</v>
      </c>
      <c r="G33" s="378">
        <v>1336</v>
      </c>
      <c r="H33" s="378">
        <v>1234</v>
      </c>
      <c r="I33" s="500">
        <v>1329</v>
      </c>
      <c r="J33" s="378"/>
      <c r="K33" s="378"/>
      <c r="L33" s="378"/>
      <c r="M33" s="500"/>
      <c r="N33" s="378"/>
      <c r="O33" s="378"/>
      <c r="P33" s="378"/>
      <c r="Q33" s="378"/>
      <c r="R33" s="377"/>
      <c r="S33" s="378"/>
      <c r="T33" s="500"/>
      <c r="U33" s="378"/>
      <c r="V33" s="378"/>
      <c r="W33" s="378"/>
      <c r="X33" s="378"/>
      <c r="Y33" s="377"/>
      <c r="Z33" s="378"/>
      <c r="AA33" s="378"/>
      <c r="AB33" s="500"/>
      <c r="AC33" s="377">
        <f>+N33+J33+F33+B33</f>
        <v>1531</v>
      </c>
      <c r="AD33" s="378">
        <f>+O33+K33+G33+C33</f>
        <v>1336</v>
      </c>
      <c r="AE33" s="378">
        <f>+P33+L33+H33+D33</f>
        <v>1234</v>
      </c>
      <c r="AF33" s="541">
        <f>+AB33+X33+Q33+M33+I33+E33</f>
        <v>1329</v>
      </c>
      <c r="AG33" s="532"/>
    </row>
    <row r="34" spans="1:33" s="515" customFormat="1" ht="18" customHeight="1">
      <c r="A34" s="540" t="s">
        <v>1086</v>
      </c>
      <c r="B34" s="378"/>
      <c r="C34" s="378"/>
      <c r="D34" s="378"/>
      <c r="E34" s="500"/>
      <c r="F34" s="378">
        <v>9</v>
      </c>
      <c r="G34" s="378">
        <v>7</v>
      </c>
      <c r="H34" s="378">
        <v>9</v>
      </c>
      <c r="I34" s="500">
        <v>3</v>
      </c>
      <c r="J34" s="378"/>
      <c r="K34" s="378"/>
      <c r="L34" s="378"/>
      <c r="M34" s="500"/>
      <c r="N34" s="378"/>
      <c r="O34" s="378"/>
      <c r="P34" s="378"/>
      <c r="Q34" s="378"/>
      <c r="R34" s="377"/>
      <c r="S34" s="378"/>
      <c r="T34" s="500"/>
      <c r="U34" s="378"/>
      <c r="V34" s="378"/>
      <c r="W34" s="378"/>
      <c r="X34" s="378"/>
      <c r="Y34" s="377"/>
      <c r="Z34" s="378"/>
      <c r="AA34" s="378"/>
      <c r="AB34" s="500"/>
      <c r="AC34" s="377">
        <f t="shared" si="2"/>
        <v>9</v>
      </c>
      <c r="AD34" s="378">
        <f t="shared" si="3"/>
        <v>7</v>
      </c>
      <c r="AE34" s="378">
        <f>+P34+L34+H34+D34</f>
        <v>9</v>
      </c>
      <c r="AF34" s="500">
        <f>+Q34+M34+I34+E34</f>
        <v>3</v>
      </c>
      <c r="AG34" s="532"/>
    </row>
    <row r="35" spans="1:33" s="515" customFormat="1" ht="18" customHeight="1">
      <c r="A35" s="540" t="s">
        <v>1087</v>
      </c>
      <c r="B35" s="378">
        <v>227</v>
      </c>
      <c r="C35" s="378">
        <v>276</v>
      </c>
      <c r="D35" s="378">
        <v>256</v>
      </c>
      <c r="E35" s="500">
        <v>179</v>
      </c>
      <c r="F35" s="378"/>
      <c r="G35" s="378"/>
      <c r="H35" s="378"/>
      <c r="I35" s="500"/>
      <c r="J35" s="378"/>
      <c r="K35" s="378"/>
      <c r="L35" s="378"/>
      <c r="M35" s="500"/>
      <c r="N35" s="378"/>
      <c r="O35" s="378"/>
      <c r="P35" s="378"/>
      <c r="Q35" s="378"/>
      <c r="R35" s="377"/>
      <c r="S35" s="378"/>
      <c r="T35" s="500"/>
      <c r="U35" s="378"/>
      <c r="V35" s="378"/>
      <c r="W35" s="378"/>
      <c r="X35" s="378"/>
      <c r="Y35" s="377"/>
      <c r="Z35" s="378"/>
      <c r="AA35" s="378"/>
      <c r="AB35" s="500"/>
      <c r="AC35" s="377">
        <f t="shared" si="2"/>
        <v>227</v>
      </c>
      <c r="AD35" s="378">
        <f t="shared" si="3"/>
        <v>276</v>
      </c>
      <c r="AE35" s="378">
        <f>+P35+L35+H35+D35</f>
        <v>256</v>
      </c>
      <c r="AF35" s="500">
        <f>+Q35+M35+I35+E35</f>
        <v>179</v>
      </c>
      <c r="AG35" s="532"/>
    </row>
    <row r="36" spans="1:33" s="515" customFormat="1" ht="18" customHeight="1">
      <c r="A36" s="542" t="s">
        <v>923</v>
      </c>
      <c r="B36" s="382">
        <v>10863</v>
      </c>
      <c r="C36" s="382">
        <v>10731</v>
      </c>
      <c r="D36" s="382">
        <v>10765</v>
      </c>
      <c r="E36" s="543">
        <f>SUM(E9:E35)</f>
        <v>9814</v>
      </c>
      <c r="F36" s="382">
        <v>5745</v>
      </c>
      <c r="G36" s="382">
        <v>4910</v>
      </c>
      <c r="H36" s="382">
        <v>4534</v>
      </c>
      <c r="I36" s="543">
        <f>SUM(I9:I35)</f>
        <v>4187</v>
      </c>
      <c r="J36" s="382">
        <v>1</v>
      </c>
      <c r="K36" s="382">
        <v>0</v>
      </c>
      <c r="L36" s="382">
        <v>0</v>
      </c>
      <c r="M36" s="543">
        <f>SUM(M9:M35)</f>
        <v>0</v>
      </c>
      <c r="N36" s="382">
        <v>446</v>
      </c>
      <c r="O36" s="382">
        <v>487</v>
      </c>
      <c r="P36" s="382">
        <v>244</v>
      </c>
      <c r="Q36" s="543">
        <f>SUM(Q9:Q35)</f>
        <v>252</v>
      </c>
      <c r="R36" s="382">
        <v>2</v>
      </c>
      <c r="S36" s="382">
        <v>0</v>
      </c>
      <c r="T36" s="543">
        <f>SUM(T9:T35)</f>
        <v>0</v>
      </c>
      <c r="U36" s="382">
        <f>SUM(U20:U35)</f>
        <v>0</v>
      </c>
      <c r="V36" s="382">
        <f>SUM(V9:V35)</f>
        <v>0</v>
      </c>
      <c r="W36" s="382">
        <f>SUM(W9:W35)</f>
        <v>0</v>
      </c>
      <c r="X36" s="543">
        <f>SUM(X9:X35)</f>
        <v>0</v>
      </c>
      <c r="Y36" s="382">
        <f t="shared" ref="Y36:Z36" si="7">SUM(Y9:Y35)</f>
        <v>0</v>
      </c>
      <c r="Z36" s="382">
        <f t="shared" si="7"/>
        <v>28</v>
      </c>
      <c r="AA36" s="382">
        <f t="shared" ref="AA36:AF36" si="8">SUM(AA9:AA35)</f>
        <v>0</v>
      </c>
      <c r="AB36" s="382">
        <f t="shared" si="8"/>
        <v>0</v>
      </c>
      <c r="AC36" s="381">
        <f t="shared" si="8"/>
        <v>17055</v>
      </c>
      <c r="AD36" s="382">
        <f t="shared" si="8"/>
        <v>16158</v>
      </c>
      <c r="AE36" s="382">
        <f t="shared" si="8"/>
        <v>15543</v>
      </c>
      <c r="AF36" s="543">
        <f t="shared" si="8"/>
        <v>14253</v>
      </c>
      <c r="AG36" s="532"/>
    </row>
    <row r="37" spans="1:33" s="515" customFormat="1" ht="18" customHeight="1">
      <c r="B37" s="532"/>
      <c r="C37" s="532"/>
      <c r="D37" s="532"/>
      <c r="E37" s="532"/>
      <c r="F37" s="532"/>
      <c r="G37" s="532"/>
      <c r="H37" s="532"/>
      <c r="I37" s="532"/>
      <c r="J37" s="532"/>
      <c r="K37" s="532"/>
      <c r="L37" s="532"/>
      <c r="M37" s="532"/>
      <c r="N37" s="532"/>
      <c r="O37" s="532"/>
      <c r="P37" s="532"/>
      <c r="Q37" s="532"/>
      <c r="R37" s="532"/>
      <c r="S37" s="532"/>
      <c r="T37" s="532"/>
      <c r="U37" s="532"/>
      <c r="V37" s="532"/>
      <c r="W37" s="532"/>
      <c r="X37" s="532"/>
      <c r="Y37" s="532"/>
      <c r="Z37" s="532"/>
      <c r="AA37" s="532"/>
      <c r="AB37" s="532"/>
      <c r="AC37" s="532"/>
      <c r="AD37" s="532"/>
      <c r="AE37" s="532"/>
      <c r="AF37" s="532"/>
      <c r="AG37" s="532"/>
    </row>
    <row r="38" spans="1:33" s="515" customFormat="1" ht="18" customHeight="1">
      <c r="A38" s="519" t="s">
        <v>1088</v>
      </c>
      <c r="B38" s="532"/>
      <c r="C38" s="532"/>
      <c r="D38" s="532"/>
      <c r="E38" s="532"/>
      <c r="F38" s="532"/>
      <c r="G38" s="532"/>
      <c r="H38" s="532"/>
      <c r="I38" s="532"/>
      <c r="J38" s="532"/>
      <c r="K38" s="532"/>
      <c r="L38" s="532"/>
      <c r="M38" s="532"/>
      <c r="N38" s="532"/>
      <c r="O38" s="532"/>
      <c r="P38" s="532"/>
      <c r="Q38" s="532"/>
      <c r="R38" s="532"/>
      <c r="S38" s="532"/>
      <c r="T38" s="532"/>
      <c r="U38" s="532"/>
      <c r="V38" s="532"/>
      <c r="W38" s="532"/>
      <c r="X38" s="532"/>
      <c r="Y38" s="532"/>
      <c r="Z38" s="532"/>
      <c r="AA38" s="532"/>
      <c r="AB38" s="532"/>
      <c r="AC38" s="532"/>
      <c r="AD38" s="532"/>
      <c r="AE38" s="532"/>
      <c r="AF38" s="532"/>
      <c r="AG38" s="532"/>
    </row>
    <row r="39" spans="1:33" s="515" customFormat="1" ht="18" customHeight="1">
      <c r="A39" s="538" t="s">
        <v>1089</v>
      </c>
      <c r="B39" s="503">
        <v>83</v>
      </c>
      <c r="C39" s="503">
        <v>245</v>
      </c>
      <c r="D39" s="503">
        <v>243</v>
      </c>
      <c r="E39" s="501">
        <v>81</v>
      </c>
      <c r="F39" s="503">
        <v>136</v>
      </c>
      <c r="G39" s="503">
        <v>400</v>
      </c>
      <c r="H39" s="503">
        <v>337</v>
      </c>
      <c r="I39" s="503">
        <v>332</v>
      </c>
      <c r="J39" s="502"/>
      <c r="K39" s="503"/>
      <c r="L39" s="503"/>
      <c r="M39" s="501"/>
      <c r="N39" s="503">
        <v>1</v>
      </c>
      <c r="O39" s="503"/>
      <c r="P39" s="503"/>
      <c r="Q39" s="503"/>
      <c r="R39" s="502"/>
      <c r="S39" s="503"/>
      <c r="T39" s="501"/>
      <c r="U39" s="502"/>
      <c r="V39" s="503"/>
      <c r="W39" s="503"/>
      <c r="X39" s="501"/>
      <c r="Y39" s="503"/>
      <c r="Z39" s="503"/>
      <c r="AA39" s="503"/>
      <c r="AB39" s="503"/>
      <c r="AC39" s="502">
        <f t="shared" ref="AC39:AF40" si="9">+N39+J39+F39+B39</f>
        <v>220</v>
      </c>
      <c r="AD39" s="503">
        <f t="shared" si="9"/>
        <v>645</v>
      </c>
      <c r="AE39" s="503">
        <f t="shared" si="9"/>
        <v>580</v>
      </c>
      <c r="AF39" s="501">
        <f t="shared" si="9"/>
        <v>413</v>
      </c>
      <c r="AG39" s="532"/>
    </row>
    <row r="40" spans="1:33" s="515" customFormat="1" ht="18" customHeight="1">
      <c r="A40" s="540" t="s">
        <v>1090</v>
      </c>
      <c r="B40" s="378">
        <v>3</v>
      </c>
      <c r="C40" s="378">
        <v>1</v>
      </c>
      <c r="D40" s="378">
        <v>0</v>
      </c>
      <c r="E40" s="500"/>
      <c r="F40" s="378">
        <v>0</v>
      </c>
      <c r="G40" s="378">
        <v>0</v>
      </c>
      <c r="H40" s="378">
        <v>0</v>
      </c>
      <c r="I40" s="378"/>
      <c r="J40" s="377"/>
      <c r="K40" s="378"/>
      <c r="L40" s="378"/>
      <c r="M40" s="500"/>
      <c r="N40" s="378"/>
      <c r="O40" s="378"/>
      <c r="P40" s="378"/>
      <c r="Q40" s="378"/>
      <c r="R40" s="377"/>
      <c r="S40" s="378"/>
      <c r="T40" s="500"/>
      <c r="U40" s="377"/>
      <c r="V40" s="378"/>
      <c r="W40" s="378"/>
      <c r="X40" s="500"/>
      <c r="Y40" s="378"/>
      <c r="Z40" s="378"/>
      <c r="AA40" s="378"/>
      <c r="AB40" s="378"/>
      <c r="AC40" s="377">
        <f t="shared" si="9"/>
        <v>3</v>
      </c>
      <c r="AD40" s="378">
        <f t="shared" si="9"/>
        <v>1</v>
      </c>
      <c r="AE40" s="378">
        <f t="shared" si="9"/>
        <v>0</v>
      </c>
      <c r="AF40" s="500">
        <f t="shared" si="9"/>
        <v>0</v>
      </c>
      <c r="AG40" s="532"/>
    </row>
    <row r="41" spans="1:33" s="515" customFormat="1" ht="18" customHeight="1">
      <c r="A41" s="540" t="s">
        <v>1091</v>
      </c>
      <c r="B41" s="378">
        <v>102</v>
      </c>
      <c r="C41" s="378">
        <v>73</v>
      </c>
      <c r="D41" s="378">
        <v>142</v>
      </c>
      <c r="E41" s="500">
        <v>163</v>
      </c>
      <c r="F41" s="378">
        <v>78</v>
      </c>
      <c r="G41" s="378">
        <v>56</v>
      </c>
      <c r="H41" s="378">
        <v>47</v>
      </c>
      <c r="I41" s="378">
        <v>47</v>
      </c>
      <c r="J41" s="377"/>
      <c r="K41" s="378"/>
      <c r="L41" s="378"/>
      <c r="M41" s="500"/>
      <c r="N41" s="378"/>
      <c r="O41" s="378"/>
      <c r="P41" s="378"/>
      <c r="Q41" s="378"/>
      <c r="R41" s="377"/>
      <c r="S41" s="378"/>
      <c r="T41" s="500"/>
      <c r="U41" s="377"/>
      <c r="V41" s="378"/>
      <c r="W41" s="378"/>
      <c r="X41" s="500"/>
      <c r="Y41" s="378"/>
      <c r="Z41" s="378"/>
      <c r="AA41" s="378"/>
      <c r="AB41" s="378"/>
      <c r="AC41" s="377">
        <f t="shared" ref="AC41:AF43" si="10">+N41+J41+F41+B41</f>
        <v>180</v>
      </c>
      <c r="AD41" s="378">
        <f t="shared" si="10"/>
        <v>129</v>
      </c>
      <c r="AE41" s="378">
        <f t="shared" si="10"/>
        <v>189</v>
      </c>
      <c r="AF41" s="500">
        <f t="shared" si="10"/>
        <v>210</v>
      </c>
      <c r="AG41" s="532"/>
    </row>
    <row r="42" spans="1:33" s="515" customFormat="1" ht="18" customHeight="1">
      <c r="A42" s="540" t="s">
        <v>1092</v>
      </c>
      <c r="B42" s="378">
        <v>290</v>
      </c>
      <c r="C42" s="378">
        <v>167</v>
      </c>
      <c r="D42" s="378">
        <v>40</v>
      </c>
      <c r="E42" s="500">
        <v>72</v>
      </c>
      <c r="F42" s="378">
        <v>30</v>
      </c>
      <c r="G42" s="378">
        <v>83</v>
      </c>
      <c r="H42" s="378">
        <v>84</v>
      </c>
      <c r="I42" s="378">
        <v>41</v>
      </c>
      <c r="J42" s="377"/>
      <c r="K42" s="378"/>
      <c r="L42" s="378"/>
      <c r="M42" s="500"/>
      <c r="N42" s="378"/>
      <c r="O42" s="378"/>
      <c r="P42" s="378"/>
      <c r="Q42" s="378"/>
      <c r="R42" s="377"/>
      <c r="S42" s="378"/>
      <c r="T42" s="500"/>
      <c r="U42" s="377"/>
      <c r="V42" s="378"/>
      <c r="W42" s="378"/>
      <c r="X42" s="500"/>
      <c r="Y42" s="378"/>
      <c r="Z42" s="378"/>
      <c r="AA42" s="378"/>
      <c r="AB42" s="378"/>
      <c r="AC42" s="377">
        <f t="shared" si="10"/>
        <v>320</v>
      </c>
      <c r="AD42" s="378">
        <f t="shared" si="10"/>
        <v>250</v>
      </c>
      <c r="AE42" s="378">
        <f t="shared" si="10"/>
        <v>124</v>
      </c>
      <c r="AF42" s="500">
        <f t="shared" si="10"/>
        <v>113</v>
      </c>
      <c r="AG42" s="532"/>
    </row>
    <row r="43" spans="1:33" s="515" customFormat="1" ht="18" customHeight="1">
      <c r="A43" s="540" t="s">
        <v>1093</v>
      </c>
      <c r="B43" s="378">
        <v>1318</v>
      </c>
      <c r="C43" s="378">
        <v>1113</v>
      </c>
      <c r="D43" s="378">
        <v>1229</v>
      </c>
      <c r="E43" s="500">
        <v>1406</v>
      </c>
      <c r="F43" s="378">
        <v>0</v>
      </c>
      <c r="G43" s="378">
        <v>0</v>
      </c>
      <c r="H43" s="378">
        <v>0</v>
      </c>
      <c r="I43" s="378"/>
      <c r="J43" s="377"/>
      <c r="K43" s="378"/>
      <c r="L43" s="378"/>
      <c r="M43" s="500"/>
      <c r="N43" s="378"/>
      <c r="O43" s="378"/>
      <c r="P43" s="378"/>
      <c r="Q43" s="378"/>
      <c r="R43" s="377"/>
      <c r="S43" s="378"/>
      <c r="T43" s="500"/>
      <c r="U43" s="377"/>
      <c r="V43" s="378"/>
      <c r="W43" s="378"/>
      <c r="X43" s="500"/>
      <c r="Y43" s="378"/>
      <c r="Z43" s="378"/>
      <c r="AA43" s="378"/>
      <c r="AB43" s="378"/>
      <c r="AC43" s="377">
        <f t="shared" si="10"/>
        <v>1318</v>
      </c>
      <c r="AD43" s="378">
        <f t="shared" si="10"/>
        <v>1113</v>
      </c>
      <c r="AE43" s="378">
        <f t="shared" si="10"/>
        <v>1229</v>
      </c>
      <c r="AF43" s="500">
        <f t="shared" si="10"/>
        <v>1406</v>
      </c>
      <c r="AG43" s="532"/>
    </row>
    <row r="44" spans="1:33" s="515" customFormat="1" ht="18" customHeight="1">
      <c r="A44" s="540" t="s">
        <v>1094</v>
      </c>
      <c r="B44" s="378">
        <v>1904</v>
      </c>
      <c r="C44" s="378">
        <v>1495</v>
      </c>
      <c r="D44" s="378">
        <v>1887</v>
      </c>
      <c r="E44" s="500">
        <v>1476</v>
      </c>
      <c r="F44" s="378">
        <v>588</v>
      </c>
      <c r="G44" s="378">
        <v>390</v>
      </c>
      <c r="H44" s="378">
        <v>261</v>
      </c>
      <c r="I44" s="378">
        <v>150</v>
      </c>
      <c r="J44" s="377"/>
      <c r="K44" s="378"/>
      <c r="L44" s="378"/>
      <c r="M44" s="500"/>
      <c r="N44" s="378"/>
      <c r="O44" s="378"/>
      <c r="P44" s="378"/>
      <c r="Q44" s="378"/>
      <c r="R44" s="377"/>
      <c r="S44" s="378"/>
      <c r="T44" s="500"/>
      <c r="U44" s="377"/>
      <c r="V44" s="378"/>
      <c r="W44" s="378"/>
      <c r="X44" s="500"/>
      <c r="Y44" s="378"/>
      <c r="Z44" s="378"/>
      <c r="AA44" s="378"/>
      <c r="AB44" s="378"/>
      <c r="AC44" s="377">
        <f t="shared" ref="AC44:AD47" si="11">+N44+J44+F44+B44</f>
        <v>2492</v>
      </c>
      <c r="AD44" s="378">
        <f t="shared" si="11"/>
        <v>1885</v>
      </c>
      <c r="AE44" s="378">
        <f t="shared" ref="AE44:AF47" si="12">+P44+L44+H44+D44</f>
        <v>2148</v>
      </c>
      <c r="AF44" s="500">
        <f t="shared" si="12"/>
        <v>1626</v>
      </c>
      <c r="AG44" s="532"/>
    </row>
    <row r="45" spans="1:33" s="515" customFormat="1" ht="18" customHeight="1">
      <c r="A45" s="540" t="s">
        <v>1095</v>
      </c>
      <c r="B45" s="378">
        <v>493</v>
      </c>
      <c r="C45" s="378">
        <v>523</v>
      </c>
      <c r="D45" s="378">
        <v>71</v>
      </c>
      <c r="E45" s="500">
        <v>11</v>
      </c>
      <c r="F45" s="378">
        <v>0</v>
      </c>
      <c r="G45" s="378">
        <v>0</v>
      </c>
      <c r="H45" s="378">
        <v>0</v>
      </c>
      <c r="I45" s="378"/>
      <c r="J45" s="377"/>
      <c r="K45" s="378"/>
      <c r="L45" s="378"/>
      <c r="M45" s="500"/>
      <c r="N45" s="378">
        <v>503</v>
      </c>
      <c r="O45" s="378"/>
      <c r="P45" s="378"/>
      <c r="Q45" s="378"/>
      <c r="R45" s="377"/>
      <c r="S45" s="378"/>
      <c r="T45" s="500"/>
      <c r="U45" s="377"/>
      <c r="V45" s="378"/>
      <c r="W45" s="378"/>
      <c r="X45" s="500"/>
      <c r="Y45" s="378"/>
      <c r="Z45" s="378"/>
      <c r="AA45" s="378"/>
      <c r="AB45" s="378"/>
      <c r="AC45" s="377">
        <f t="shared" si="11"/>
        <v>996</v>
      </c>
      <c r="AD45" s="378">
        <f t="shared" si="11"/>
        <v>523</v>
      </c>
      <c r="AE45" s="378">
        <f t="shared" si="12"/>
        <v>71</v>
      </c>
      <c r="AF45" s="500">
        <f t="shared" si="12"/>
        <v>11</v>
      </c>
      <c r="AG45" s="532"/>
    </row>
    <row r="46" spans="1:33" s="515" customFormat="1" ht="18" customHeight="1">
      <c r="A46" s="540" t="s">
        <v>1096</v>
      </c>
      <c r="B46" s="378">
        <v>677</v>
      </c>
      <c r="C46" s="378">
        <v>589</v>
      </c>
      <c r="D46" s="378">
        <v>654</v>
      </c>
      <c r="E46" s="500">
        <v>343</v>
      </c>
      <c r="F46" s="378">
        <v>0</v>
      </c>
      <c r="G46" s="378">
        <v>0</v>
      </c>
      <c r="H46" s="378">
        <v>0</v>
      </c>
      <c r="I46" s="378"/>
      <c r="J46" s="377"/>
      <c r="K46" s="378"/>
      <c r="L46" s="378"/>
      <c r="M46" s="500"/>
      <c r="N46" s="378"/>
      <c r="O46" s="378"/>
      <c r="P46" s="378"/>
      <c r="Q46" s="378"/>
      <c r="R46" s="377"/>
      <c r="S46" s="378"/>
      <c r="T46" s="500"/>
      <c r="U46" s="377"/>
      <c r="V46" s="378"/>
      <c r="W46" s="378"/>
      <c r="X46" s="500"/>
      <c r="Y46" s="378"/>
      <c r="Z46" s="378"/>
      <c r="AA46" s="378"/>
      <c r="AB46" s="378"/>
      <c r="AC46" s="377">
        <f t="shared" si="11"/>
        <v>677</v>
      </c>
      <c r="AD46" s="378">
        <f t="shared" si="11"/>
        <v>589</v>
      </c>
      <c r="AE46" s="378">
        <f t="shared" si="12"/>
        <v>654</v>
      </c>
      <c r="AF46" s="500">
        <f t="shared" si="12"/>
        <v>343</v>
      </c>
      <c r="AG46" s="532"/>
    </row>
    <row r="47" spans="1:33" s="515" customFormat="1" ht="18" customHeight="1">
      <c r="A47" s="542" t="s">
        <v>1097</v>
      </c>
      <c r="B47" s="382">
        <v>873</v>
      </c>
      <c r="C47" s="382">
        <v>1153</v>
      </c>
      <c r="D47" s="382">
        <v>1116</v>
      </c>
      <c r="E47" s="543">
        <v>1135</v>
      </c>
      <c r="F47" s="382">
        <v>162</v>
      </c>
      <c r="G47" s="382">
        <v>151</v>
      </c>
      <c r="H47" s="382">
        <v>209</v>
      </c>
      <c r="I47" s="382">
        <v>211</v>
      </c>
      <c r="J47" s="381"/>
      <c r="K47" s="382"/>
      <c r="L47" s="382"/>
      <c r="M47" s="543"/>
      <c r="N47" s="382">
        <v>15</v>
      </c>
      <c r="O47" s="382">
        <v>4</v>
      </c>
      <c r="P47" s="382">
        <v>4</v>
      </c>
      <c r="Q47" s="382"/>
      <c r="R47" s="381"/>
      <c r="S47" s="382"/>
      <c r="T47" s="543"/>
      <c r="U47" s="381"/>
      <c r="V47" s="382"/>
      <c r="W47" s="382"/>
      <c r="X47" s="543"/>
      <c r="Y47" s="382"/>
      <c r="Z47" s="382"/>
      <c r="AA47" s="382"/>
      <c r="AB47" s="382"/>
      <c r="AC47" s="381">
        <f t="shared" si="11"/>
        <v>1050</v>
      </c>
      <c r="AD47" s="382">
        <f t="shared" si="11"/>
        <v>1308</v>
      </c>
      <c r="AE47" s="382">
        <f t="shared" si="12"/>
        <v>1329</v>
      </c>
      <c r="AF47" s="543">
        <f>+Q47+M47+I47+E47</f>
        <v>1346</v>
      </c>
      <c r="AG47" s="532"/>
    </row>
    <row r="48" spans="1:33">
      <c r="B48" s="520"/>
      <c r="C48" s="520"/>
      <c r="D48" s="520"/>
      <c r="E48" s="520"/>
      <c r="F48" s="520"/>
      <c r="G48" s="520"/>
      <c r="H48" s="520"/>
      <c r="I48" s="520"/>
      <c r="J48" s="520"/>
      <c r="K48" s="520"/>
      <c r="L48" s="520"/>
      <c r="M48" s="520"/>
      <c r="N48" s="520"/>
      <c r="O48" s="520"/>
      <c r="P48" s="520"/>
      <c r="Q48" s="520"/>
      <c r="R48" s="520"/>
      <c r="S48" s="520"/>
      <c r="T48" s="520"/>
      <c r="U48" s="520"/>
      <c r="V48" s="520"/>
      <c r="W48" s="520"/>
      <c r="X48" s="520"/>
      <c r="Y48" s="520"/>
      <c r="Z48" s="520"/>
      <c r="AA48" s="520"/>
      <c r="AB48" s="520"/>
      <c r="AC48" s="520"/>
      <c r="AD48" s="520"/>
      <c r="AE48" s="520"/>
      <c r="AF48" s="520"/>
      <c r="AG48" s="520"/>
    </row>
    <row r="49" spans="2:33">
      <c r="B49" s="520"/>
      <c r="C49" s="520"/>
      <c r="D49" s="520"/>
      <c r="E49" s="520"/>
      <c r="F49" s="520"/>
      <c r="G49" s="520"/>
      <c r="H49" s="520"/>
      <c r="I49" s="520"/>
      <c r="J49" s="520"/>
      <c r="K49" s="520"/>
      <c r="L49" s="520"/>
      <c r="M49" s="520"/>
      <c r="N49" s="520"/>
      <c r="O49" s="520"/>
      <c r="P49" s="520"/>
      <c r="Q49" s="520"/>
      <c r="R49" s="520"/>
      <c r="S49" s="520"/>
      <c r="T49" s="520"/>
      <c r="U49" s="520"/>
      <c r="V49" s="520"/>
      <c r="W49" s="520"/>
      <c r="X49" s="520"/>
      <c r="Y49" s="520"/>
      <c r="Z49" s="520"/>
      <c r="AA49" s="520"/>
      <c r="AB49" s="520"/>
      <c r="AC49" s="520"/>
      <c r="AD49" s="520"/>
      <c r="AE49" s="520"/>
      <c r="AF49" s="520"/>
      <c r="AG49" s="520"/>
    </row>
    <row r="50" spans="2:33">
      <c r="B50" s="520"/>
      <c r="C50" s="520"/>
      <c r="D50" s="520"/>
      <c r="E50" s="520"/>
      <c r="F50" s="520"/>
      <c r="G50" s="520"/>
      <c r="H50" s="520"/>
      <c r="I50" s="520"/>
      <c r="J50" s="520"/>
      <c r="K50" s="520"/>
      <c r="L50" s="520"/>
      <c r="M50" s="520"/>
      <c r="N50" s="520"/>
      <c r="O50" s="520"/>
      <c r="P50" s="520"/>
      <c r="Q50" s="520"/>
      <c r="R50" s="520"/>
      <c r="S50" s="520"/>
      <c r="T50" s="520"/>
      <c r="U50" s="520"/>
      <c r="V50" s="520"/>
      <c r="W50" s="520"/>
      <c r="X50" s="520"/>
      <c r="Y50" s="520"/>
      <c r="Z50" s="520"/>
      <c r="AA50" s="520"/>
      <c r="AB50" s="520"/>
      <c r="AC50" s="520"/>
      <c r="AD50" s="520"/>
      <c r="AE50" s="520"/>
      <c r="AF50" s="520"/>
      <c r="AG50" s="520"/>
    </row>
    <row r="51" spans="2:33">
      <c r="B51" s="520"/>
      <c r="C51" s="520"/>
      <c r="D51" s="520"/>
      <c r="E51" s="520"/>
      <c r="F51" s="520"/>
      <c r="G51" s="520"/>
      <c r="H51" s="520"/>
      <c r="I51" s="520"/>
      <c r="J51" s="520"/>
      <c r="K51" s="520"/>
      <c r="L51" s="520"/>
      <c r="M51" s="520"/>
      <c r="N51" s="520"/>
      <c r="O51" s="520"/>
      <c r="P51" s="520"/>
      <c r="Q51" s="520"/>
      <c r="R51" s="520"/>
      <c r="S51" s="520"/>
      <c r="T51" s="520"/>
      <c r="U51" s="520"/>
      <c r="V51" s="520"/>
      <c r="W51" s="520"/>
      <c r="X51" s="520"/>
      <c r="Y51" s="520"/>
      <c r="Z51" s="520"/>
      <c r="AA51" s="520"/>
      <c r="AB51" s="520"/>
      <c r="AC51" s="520"/>
      <c r="AD51" s="520"/>
      <c r="AE51" s="520"/>
      <c r="AF51" s="520"/>
      <c r="AG51" s="520"/>
    </row>
    <row r="52" spans="2:33">
      <c r="B52" s="520"/>
      <c r="C52" s="520"/>
      <c r="D52" s="520"/>
      <c r="E52" s="520"/>
      <c r="F52" s="520"/>
      <c r="G52" s="520"/>
      <c r="H52" s="520"/>
      <c r="I52" s="520"/>
      <c r="J52" s="520"/>
      <c r="K52" s="520"/>
      <c r="L52" s="520"/>
      <c r="M52" s="520"/>
      <c r="N52" s="520"/>
      <c r="O52" s="520"/>
      <c r="P52" s="520"/>
      <c r="Q52" s="520"/>
      <c r="R52" s="520"/>
      <c r="S52" s="520"/>
      <c r="T52" s="520"/>
      <c r="U52" s="520"/>
      <c r="V52" s="520"/>
      <c r="W52" s="520"/>
      <c r="X52" s="520"/>
      <c r="Y52" s="520"/>
      <c r="Z52" s="520"/>
      <c r="AA52" s="520"/>
      <c r="AB52" s="520"/>
      <c r="AC52" s="520"/>
      <c r="AD52" s="520"/>
      <c r="AE52" s="520"/>
      <c r="AF52" s="520"/>
      <c r="AG52" s="520"/>
    </row>
    <row r="53" spans="2:33">
      <c r="B53" s="520"/>
      <c r="C53" s="520"/>
      <c r="D53" s="520"/>
      <c r="E53" s="520"/>
      <c r="F53" s="520"/>
      <c r="G53" s="520"/>
      <c r="H53" s="520"/>
      <c r="I53" s="520"/>
      <c r="J53" s="520"/>
      <c r="K53" s="520"/>
      <c r="L53" s="520"/>
      <c r="M53" s="520"/>
      <c r="N53" s="520"/>
      <c r="O53" s="520"/>
      <c r="P53" s="520"/>
      <c r="Q53" s="520"/>
      <c r="R53" s="520"/>
      <c r="S53" s="520"/>
      <c r="T53" s="520"/>
      <c r="U53" s="520"/>
      <c r="V53" s="520"/>
      <c r="W53" s="520"/>
      <c r="X53" s="520"/>
      <c r="Y53" s="520"/>
      <c r="Z53" s="520"/>
      <c r="AA53" s="520"/>
      <c r="AB53" s="520"/>
      <c r="AC53" s="520"/>
      <c r="AD53" s="520"/>
      <c r="AE53" s="520"/>
      <c r="AF53" s="520"/>
      <c r="AG53" s="520"/>
    </row>
    <row r="54" spans="2:33">
      <c r="B54" s="517"/>
      <c r="C54" s="517"/>
      <c r="D54" s="517"/>
      <c r="E54" s="517"/>
      <c r="F54" s="517"/>
      <c r="G54" s="517"/>
      <c r="H54" s="517"/>
      <c r="I54" s="517"/>
      <c r="J54" s="517"/>
      <c r="K54" s="517"/>
      <c r="L54" s="517"/>
      <c r="M54" s="517"/>
      <c r="N54" s="517"/>
      <c r="O54" s="517"/>
      <c r="P54" s="517"/>
      <c r="Q54" s="517"/>
      <c r="R54" s="517"/>
      <c r="S54" s="517"/>
      <c r="T54" s="517"/>
      <c r="U54" s="517"/>
      <c r="V54" s="517"/>
      <c r="W54" s="517"/>
      <c r="X54" s="517"/>
      <c r="Y54" s="517"/>
      <c r="Z54" s="517"/>
      <c r="AA54" s="517"/>
      <c r="AB54" s="517"/>
      <c r="AC54" s="517"/>
      <c r="AD54" s="517"/>
      <c r="AE54" s="517"/>
      <c r="AF54" s="517"/>
      <c r="AG54" s="517"/>
    </row>
    <row r="55" spans="2:33">
      <c r="B55" s="517"/>
      <c r="C55" s="517"/>
      <c r="D55" s="517"/>
      <c r="E55" s="517"/>
      <c r="F55" s="517"/>
      <c r="G55" s="517"/>
      <c r="H55" s="517"/>
      <c r="I55" s="517"/>
      <c r="J55" s="517"/>
      <c r="K55" s="517"/>
      <c r="L55" s="517"/>
      <c r="M55" s="517"/>
      <c r="N55" s="517"/>
      <c r="O55" s="517"/>
      <c r="P55" s="517"/>
      <c r="Q55" s="517"/>
      <c r="R55" s="517"/>
      <c r="S55" s="517"/>
      <c r="T55" s="517"/>
      <c r="U55" s="517"/>
      <c r="V55" s="517"/>
      <c r="W55" s="517"/>
      <c r="X55" s="517"/>
      <c r="Y55" s="517"/>
      <c r="Z55" s="517"/>
      <c r="AA55" s="517"/>
      <c r="AB55" s="517"/>
      <c r="AC55" s="517"/>
      <c r="AD55" s="517"/>
      <c r="AE55" s="517"/>
      <c r="AF55" s="517"/>
      <c r="AG55" s="517"/>
    </row>
    <row r="56" spans="2:33">
      <c r="B56" s="517"/>
      <c r="C56" s="517"/>
      <c r="D56" s="517"/>
      <c r="E56" s="517"/>
      <c r="F56" s="517"/>
      <c r="G56" s="517"/>
      <c r="H56" s="517"/>
      <c r="I56" s="517"/>
      <c r="J56" s="517"/>
      <c r="K56" s="517"/>
      <c r="L56" s="517"/>
      <c r="M56" s="517"/>
      <c r="N56" s="517"/>
      <c r="O56" s="517"/>
      <c r="P56" s="517"/>
      <c r="Q56" s="517"/>
      <c r="R56" s="517"/>
      <c r="S56" s="517"/>
      <c r="T56" s="517"/>
      <c r="U56" s="517"/>
      <c r="V56" s="517"/>
      <c r="W56" s="517"/>
      <c r="X56" s="517"/>
      <c r="Y56" s="517"/>
      <c r="Z56" s="517"/>
      <c r="AA56" s="517"/>
      <c r="AB56" s="517"/>
      <c r="AC56" s="517"/>
      <c r="AD56" s="517"/>
      <c r="AE56" s="517"/>
      <c r="AF56" s="517"/>
      <c r="AG56" s="517"/>
    </row>
    <row r="57" spans="2:33">
      <c r="B57" s="517"/>
      <c r="C57" s="517"/>
      <c r="D57" s="517"/>
      <c r="E57" s="517"/>
      <c r="F57" s="517"/>
      <c r="G57" s="517"/>
      <c r="H57" s="517"/>
      <c r="I57" s="517"/>
      <c r="J57" s="517"/>
      <c r="K57" s="517"/>
      <c r="L57" s="517"/>
      <c r="M57" s="517"/>
      <c r="N57" s="517"/>
      <c r="O57" s="517"/>
      <c r="P57" s="517"/>
      <c r="Q57" s="517"/>
      <c r="R57" s="517"/>
      <c r="S57" s="517"/>
      <c r="T57" s="517"/>
      <c r="U57" s="517"/>
      <c r="V57" s="517"/>
      <c r="W57" s="517"/>
      <c r="X57" s="517"/>
      <c r="Y57" s="517"/>
      <c r="Z57" s="517"/>
      <c r="AA57" s="517"/>
      <c r="AB57" s="517"/>
      <c r="AC57" s="517"/>
      <c r="AD57" s="517"/>
      <c r="AE57" s="517"/>
      <c r="AF57" s="517"/>
      <c r="AG57" s="517"/>
    </row>
    <row r="58" spans="2:33">
      <c r="B58" s="517"/>
      <c r="C58" s="517"/>
      <c r="D58" s="517"/>
      <c r="E58" s="517"/>
      <c r="F58" s="517"/>
      <c r="G58" s="517"/>
      <c r="H58" s="517"/>
      <c r="I58" s="517"/>
      <c r="J58" s="517"/>
      <c r="K58" s="517"/>
      <c r="L58" s="517"/>
      <c r="M58" s="517"/>
      <c r="N58" s="517"/>
      <c r="O58" s="517"/>
      <c r="P58" s="517"/>
      <c r="Q58" s="517"/>
      <c r="R58" s="517"/>
      <c r="S58" s="517"/>
      <c r="T58" s="517"/>
      <c r="U58" s="517"/>
      <c r="V58" s="517"/>
      <c r="W58" s="517"/>
      <c r="X58" s="517"/>
      <c r="Y58" s="517"/>
      <c r="Z58" s="517"/>
      <c r="AA58" s="517"/>
      <c r="AB58" s="517"/>
      <c r="AC58" s="517"/>
      <c r="AD58" s="517"/>
      <c r="AE58" s="517"/>
      <c r="AF58" s="517"/>
      <c r="AG58" s="517"/>
    </row>
    <row r="59" spans="2:33">
      <c r="B59" s="517"/>
      <c r="C59" s="517"/>
      <c r="D59" s="517"/>
      <c r="E59" s="517"/>
      <c r="F59" s="517"/>
      <c r="G59" s="517"/>
      <c r="H59" s="517"/>
      <c r="I59" s="517"/>
      <c r="J59" s="517"/>
      <c r="K59" s="517"/>
      <c r="L59" s="517"/>
      <c r="M59" s="517"/>
      <c r="N59" s="517"/>
      <c r="O59" s="517"/>
      <c r="P59" s="517"/>
      <c r="Q59" s="517"/>
      <c r="R59" s="517"/>
      <c r="S59" s="517"/>
      <c r="T59" s="517"/>
      <c r="U59" s="517"/>
      <c r="V59" s="517"/>
      <c r="W59" s="517"/>
      <c r="X59" s="517"/>
      <c r="Y59" s="517"/>
      <c r="Z59" s="517"/>
      <c r="AA59" s="517"/>
      <c r="AB59" s="517"/>
      <c r="AC59" s="517"/>
      <c r="AD59" s="517"/>
      <c r="AE59" s="517"/>
      <c r="AF59" s="517"/>
      <c r="AG59" s="517"/>
    </row>
    <row r="60" spans="2:33">
      <c r="B60" s="517"/>
      <c r="C60" s="517"/>
      <c r="D60" s="517"/>
      <c r="E60" s="517"/>
      <c r="F60" s="517"/>
      <c r="G60" s="517"/>
      <c r="H60" s="517"/>
      <c r="I60" s="517"/>
      <c r="J60" s="517"/>
      <c r="K60" s="517"/>
      <c r="L60" s="517"/>
      <c r="M60" s="517"/>
      <c r="N60" s="517"/>
      <c r="O60" s="517"/>
      <c r="P60" s="517"/>
      <c r="Q60" s="517"/>
      <c r="R60" s="517"/>
      <c r="S60" s="517"/>
      <c r="T60" s="517"/>
      <c r="U60" s="517"/>
      <c r="V60" s="517"/>
      <c r="W60" s="517"/>
      <c r="X60" s="517"/>
      <c r="Y60" s="517"/>
      <c r="Z60" s="517"/>
      <c r="AA60" s="517"/>
      <c r="AB60" s="517"/>
      <c r="AC60" s="517"/>
      <c r="AD60" s="517"/>
      <c r="AE60" s="517"/>
      <c r="AF60" s="517"/>
      <c r="AG60" s="517"/>
    </row>
    <row r="61" spans="2:33">
      <c r="B61" s="517"/>
      <c r="C61" s="517"/>
      <c r="D61" s="517"/>
      <c r="E61" s="517"/>
      <c r="F61" s="517"/>
      <c r="G61" s="517"/>
      <c r="H61" s="517"/>
      <c r="I61" s="517"/>
      <c r="J61" s="517"/>
      <c r="K61" s="517"/>
      <c r="L61" s="517"/>
      <c r="M61" s="517"/>
      <c r="N61" s="517"/>
      <c r="O61" s="517"/>
      <c r="P61" s="517"/>
      <c r="Q61" s="517"/>
      <c r="R61" s="517"/>
      <c r="S61" s="517"/>
      <c r="T61" s="517"/>
      <c r="U61" s="517"/>
      <c r="V61" s="517"/>
      <c r="W61" s="517"/>
      <c r="X61" s="517"/>
      <c r="Y61" s="517"/>
      <c r="Z61" s="517"/>
      <c r="AA61" s="517"/>
      <c r="AB61" s="517"/>
      <c r="AC61" s="517"/>
      <c r="AD61" s="517"/>
      <c r="AE61" s="517"/>
      <c r="AF61" s="517"/>
      <c r="AG61" s="517"/>
    </row>
    <row r="62" spans="2:33">
      <c r="B62" s="517"/>
      <c r="C62" s="517"/>
      <c r="D62" s="517"/>
      <c r="E62" s="517"/>
      <c r="F62" s="517"/>
      <c r="G62" s="517"/>
      <c r="H62" s="517"/>
      <c r="I62" s="517"/>
      <c r="J62" s="517"/>
      <c r="K62" s="517"/>
      <c r="L62" s="517"/>
      <c r="M62" s="517"/>
      <c r="N62" s="517"/>
      <c r="O62" s="517"/>
      <c r="P62" s="517"/>
      <c r="Q62" s="517"/>
      <c r="R62" s="517"/>
      <c r="S62" s="517"/>
      <c r="T62" s="517"/>
      <c r="U62" s="517"/>
      <c r="V62" s="517"/>
      <c r="W62" s="517"/>
      <c r="X62" s="517"/>
      <c r="Y62" s="517"/>
      <c r="Z62" s="517"/>
      <c r="AA62" s="517"/>
      <c r="AB62" s="517"/>
      <c r="AC62" s="517"/>
      <c r="AD62" s="517"/>
      <c r="AE62" s="517"/>
      <c r="AF62" s="517"/>
      <c r="AG62" s="517"/>
    </row>
    <row r="63" spans="2:33">
      <c r="B63" s="517"/>
      <c r="C63" s="517"/>
      <c r="D63" s="517"/>
      <c r="E63" s="517"/>
      <c r="F63" s="517"/>
      <c r="G63" s="517"/>
      <c r="H63" s="517"/>
      <c r="I63" s="517"/>
      <c r="J63" s="517"/>
      <c r="K63" s="517"/>
      <c r="L63" s="517"/>
      <c r="M63" s="517"/>
      <c r="N63" s="517"/>
      <c r="O63" s="517"/>
      <c r="P63" s="517"/>
      <c r="Q63" s="517"/>
      <c r="R63" s="517"/>
      <c r="S63" s="517"/>
      <c r="T63" s="517"/>
      <c r="U63" s="517"/>
      <c r="V63" s="517"/>
      <c r="W63" s="517"/>
      <c r="X63" s="517"/>
      <c r="Y63" s="517"/>
      <c r="Z63" s="517"/>
      <c r="AA63" s="517"/>
      <c r="AB63" s="517"/>
      <c r="AC63" s="517"/>
      <c r="AD63" s="517"/>
      <c r="AE63" s="517"/>
      <c r="AF63" s="517"/>
      <c r="AG63" s="517"/>
    </row>
    <row r="64" spans="2:33">
      <c r="B64" s="517"/>
      <c r="C64" s="517"/>
      <c r="D64" s="517"/>
      <c r="E64" s="517"/>
      <c r="F64" s="517"/>
      <c r="G64" s="517"/>
      <c r="H64" s="517"/>
      <c r="I64" s="517"/>
      <c r="J64" s="517"/>
      <c r="K64" s="517"/>
      <c r="L64" s="517"/>
      <c r="M64" s="517"/>
      <c r="N64" s="517"/>
      <c r="O64" s="517"/>
      <c r="P64" s="517"/>
      <c r="Q64" s="517"/>
      <c r="R64" s="517"/>
      <c r="S64" s="517"/>
      <c r="T64" s="517"/>
      <c r="U64" s="517"/>
      <c r="V64" s="517"/>
      <c r="W64" s="517"/>
      <c r="X64" s="517"/>
      <c r="Y64" s="517"/>
      <c r="Z64" s="517"/>
      <c r="AA64" s="517"/>
      <c r="AB64" s="517"/>
      <c r="AC64" s="517"/>
      <c r="AD64" s="517"/>
      <c r="AE64" s="517"/>
      <c r="AF64" s="517"/>
      <c r="AG64" s="517"/>
    </row>
    <row r="65" spans="2:33">
      <c r="B65" s="517"/>
      <c r="C65" s="517"/>
      <c r="D65" s="517"/>
      <c r="E65" s="517"/>
      <c r="F65" s="517"/>
      <c r="G65" s="517"/>
      <c r="H65" s="517"/>
      <c r="I65" s="517"/>
      <c r="J65" s="517"/>
      <c r="K65" s="517"/>
      <c r="L65" s="517"/>
      <c r="M65" s="517"/>
      <c r="N65" s="517"/>
      <c r="O65" s="517"/>
      <c r="P65" s="517"/>
      <c r="Q65" s="517"/>
      <c r="R65" s="517"/>
      <c r="S65" s="517"/>
      <c r="T65" s="517"/>
      <c r="U65" s="517"/>
      <c r="V65" s="517"/>
      <c r="W65" s="517"/>
      <c r="X65" s="517"/>
      <c r="Y65" s="517"/>
      <c r="Z65" s="517"/>
      <c r="AA65" s="517"/>
      <c r="AB65" s="517"/>
      <c r="AC65" s="517"/>
      <c r="AD65" s="517"/>
      <c r="AE65" s="517"/>
      <c r="AF65" s="517"/>
      <c r="AG65" s="517"/>
    </row>
    <row r="66" spans="2:33">
      <c r="B66" s="517"/>
      <c r="C66" s="517"/>
      <c r="D66" s="517"/>
      <c r="E66" s="517"/>
      <c r="F66" s="517"/>
      <c r="G66" s="517"/>
      <c r="H66" s="517"/>
      <c r="I66" s="517"/>
      <c r="J66" s="517"/>
      <c r="K66" s="517"/>
      <c r="L66" s="517"/>
      <c r="M66" s="517"/>
      <c r="N66" s="517"/>
      <c r="O66" s="517"/>
      <c r="P66" s="517"/>
      <c r="Q66" s="517"/>
      <c r="R66" s="517"/>
      <c r="S66" s="517"/>
      <c r="T66" s="517"/>
      <c r="U66" s="517"/>
      <c r="V66" s="517"/>
      <c r="W66" s="517"/>
      <c r="X66" s="517"/>
      <c r="Y66" s="517"/>
      <c r="Z66" s="517"/>
      <c r="AA66" s="517"/>
      <c r="AB66" s="517"/>
      <c r="AC66" s="517"/>
      <c r="AD66" s="517"/>
      <c r="AE66" s="517"/>
      <c r="AF66" s="517"/>
      <c r="AG66" s="517"/>
    </row>
    <row r="67" spans="2:33">
      <c r="B67" s="517"/>
      <c r="C67" s="517"/>
      <c r="D67" s="517"/>
      <c r="E67" s="517"/>
      <c r="F67" s="517"/>
      <c r="G67" s="517"/>
      <c r="H67" s="517"/>
      <c r="I67" s="517"/>
      <c r="J67" s="517"/>
      <c r="K67" s="517"/>
      <c r="L67" s="517"/>
      <c r="M67" s="517"/>
      <c r="N67" s="517"/>
      <c r="O67" s="517"/>
      <c r="P67" s="517"/>
      <c r="Q67" s="517"/>
      <c r="R67" s="517"/>
      <c r="S67" s="517"/>
      <c r="T67" s="517"/>
      <c r="U67" s="517"/>
      <c r="V67" s="517"/>
      <c r="W67" s="517"/>
      <c r="X67" s="517"/>
      <c r="Y67" s="517"/>
      <c r="Z67" s="517"/>
      <c r="AA67" s="517"/>
      <c r="AB67" s="517"/>
      <c r="AC67" s="517"/>
      <c r="AD67" s="517"/>
      <c r="AE67" s="517"/>
      <c r="AF67" s="517"/>
      <c r="AG67" s="517"/>
    </row>
    <row r="68" spans="2:33">
      <c r="B68" s="517"/>
      <c r="C68" s="517"/>
      <c r="D68" s="517"/>
      <c r="E68" s="517"/>
      <c r="F68" s="517"/>
      <c r="G68" s="517"/>
      <c r="H68" s="517"/>
      <c r="I68" s="517"/>
      <c r="J68" s="517"/>
      <c r="K68" s="517"/>
      <c r="L68" s="517"/>
      <c r="M68" s="517"/>
      <c r="N68" s="517"/>
      <c r="O68" s="517"/>
      <c r="P68" s="517"/>
      <c r="Q68" s="517"/>
      <c r="R68" s="517"/>
      <c r="S68" s="517"/>
      <c r="T68" s="517"/>
      <c r="U68" s="517"/>
      <c r="V68" s="517"/>
      <c r="W68" s="517"/>
      <c r="X68" s="517"/>
      <c r="Y68" s="517"/>
      <c r="Z68" s="517"/>
      <c r="AA68" s="517"/>
      <c r="AB68" s="517"/>
      <c r="AC68" s="517"/>
      <c r="AD68" s="517"/>
      <c r="AE68" s="517"/>
      <c r="AF68" s="517"/>
      <c r="AG68" s="517"/>
    </row>
    <row r="69" spans="2:33">
      <c r="B69" s="517"/>
      <c r="C69" s="517"/>
      <c r="D69" s="517"/>
      <c r="E69" s="517"/>
      <c r="F69" s="517"/>
      <c r="G69" s="517"/>
      <c r="H69" s="517"/>
      <c r="I69" s="517"/>
      <c r="J69" s="517"/>
      <c r="K69" s="517"/>
      <c r="L69" s="517"/>
      <c r="M69" s="517"/>
      <c r="N69" s="517"/>
      <c r="O69" s="517"/>
      <c r="P69" s="517"/>
      <c r="Q69" s="517"/>
      <c r="R69" s="517"/>
      <c r="S69" s="517"/>
      <c r="T69" s="517"/>
      <c r="U69" s="517"/>
      <c r="V69" s="517"/>
      <c r="W69" s="517"/>
      <c r="X69" s="517"/>
      <c r="Y69" s="517"/>
      <c r="Z69" s="517"/>
      <c r="AA69" s="517"/>
      <c r="AB69" s="517"/>
      <c r="AC69" s="517"/>
      <c r="AD69" s="517"/>
      <c r="AE69" s="517"/>
      <c r="AF69" s="517"/>
      <c r="AG69" s="517"/>
    </row>
    <row r="70" spans="2:33">
      <c r="B70" s="517"/>
      <c r="C70" s="517"/>
      <c r="D70" s="517"/>
      <c r="E70" s="517"/>
      <c r="F70" s="517"/>
      <c r="G70" s="517"/>
      <c r="H70" s="517"/>
      <c r="I70" s="517"/>
      <c r="J70" s="517"/>
      <c r="K70" s="517"/>
      <c r="L70" s="517"/>
      <c r="M70" s="517"/>
      <c r="N70" s="517"/>
      <c r="O70" s="517"/>
      <c r="P70" s="517"/>
      <c r="Q70" s="517"/>
      <c r="R70" s="517"/>
      <c r="S70" s="517"/>
      <c r="T70" s="517"/>
      <c r="U70" s="517"/>
      <c r="V70" s="517"/>
      <c r="W70" s="517"/>
      <c r="X70" s="517"/>
      <c r="Y70" s="517"/>
      <c r="Z70" s="517"/>
      <c r="AA70" s="517"/>
      <c r="AB70" s="517"/>
      <c r="AC70" s="517"/>
      <c r="AD70" s="517"/>
      <c r="AE70" s="517"/>
      <c r="AF70" s="517"/>
      <c r="AG70" s="517"/>
    </row>
    <row r="71" spans="2:33">
      <c r="B71" s="517"/>
      <c r="C71" s="517"/>
      <c r="D71" s="517"/>
      <c r="E71" s="517"/>
      <c r="F71" s="517"/>
      <c r="G71" s="517"/>
      <c r="H71" s="517"/>
      <c r="I71" s="517"/>
      <c r="J71" s="517"/>
      <c r="K71" s="517"/>
      <c r="L71" s="517"/>
      <c r="M71" s="517"/>
      <c r="N71" s="517"/>
      <c r="O71" s="517"/>
      <c r="P71" s="517"/>
      <c r="Q71" s="517"/>
      <c r="R71" s="517"/>
      <c r="S71" s="517"/>
      <c r="T71" s="517"/>
      <c r="U71" s="517"/>
      <c r="V71" s="517"/>
      <c r="W71" s="517"/>
      <c r="X71" s="517"/>
      <c r="Y71" s="517"/>
      <c r="Z71" s="517"/>
      <c r="AA71" s="517"/>
      <c r="AB71" s="517"/>
      <c r="AC71" s="517"/>
      <c r="AD71" s="517"/>
      <c r="AE71" s="517"/>
      <c r="AF71" s="517"/>
      <c r="AG71" s="517"/>
    </row>
    <row r="72" spans="2:33">
      <c r="B72" s="517"/>
      <c r="C72" s="517"/>
      <c r="D72" s="517"/>
      <c r="E72" s="517"/>
      <c r="F72" s="517"/>
      <c r="G72" s="517"/>
      <c r="H72" s="517"/>
      <c r="I72" s="517"/>
      <c r="J72" s="517"/>
      <c r="K72" s="517"/>
      <c r="L72" s="517"/>
      <c r="M72" s="517"/>
      <c r="N72" s="517"/>
      <c r="O72" s="517"/>
      <c r="P72" s="517"/>
      <c r="Q72" s="517"/>
      <c r="R72" s="517"/>
      <c r="S72" s="517"/>
      <c r="T72" s="517"/>
      <c r="U72" s="517"/>
      <c r="V72" s="517"/>
      <c r="W72" s="517"/>
      <c r="X72" s="517"/>
      <c r="Y72" s="517"/>
      <c r="Z72" s="517"/>
      <c r="AA72" s="517"/>
      <c r="AB72" s="517"/>
      <c r="AC72" s="517"/>
      <c r="AD72" s="517"/>
      <c r="AE72" s="517"/>
      <c r="AF72" s="517"/>
      <c r="AG72" s="517"/>
    </row>
    <row r="73" spans="2:33">
      <c r="B73" s="517"/>
      <c r="C73" s="517"/>
      <c r="D73" s="517"/>
      <c r="E73" s="517"/>
      <c r="F73" s="517"/>
      <c r="G73" s="517"/>
      <c r="H73" s="517"/>
      <c r="I73" s="517"/>
      <c r="J73" s="517"/>
      <c r="K73" s="517"/>
      <c r="L73" s="517"/>
      <c r="M73" s="517"/>
      <c r="N73" s="517"/>
      <c r="O73" s="517"/>
      <c r="P73" s="517"/>
      <c r="Q73" s="517"/>
      <c r="R73" s="517"/>
      <c r="S73" s="517"/>
      <c r="T73" s="517"/>
      <c r="U73" s="517"/>
      <c r="V73" s="517"/>
      <c r="W73" s="517"/>
      <c r="X73" s="517"/>
      <c r="Y73" s="517"/>
      <c r="Z73" s="517"/>
      <c r="AA73" s="517"/>
      <c r="AB73" s="517"/>
      <c r="AC73" s="517"/>
      <c r="AD73" s="517"/>
      <c r="AE73" s="517"/>
      <c r="AF73" s="517"/>
      <c r="AG73" s="517"/>
    </row>
    <row r="74" spans="2:33">
      <c r="B74" s="517"/>
      <c r="C74" s="517"/>
      <c r="D74" s="517"/>
      <c r="E74" s="517"/>
      <c r="F74" s="517"/>
      <c r="G74" s="517"/>
      <c r="H74" s="517"/>
      <c r="I74" s="517"/>
      <c r="J74" s="517"/>
      <c r="K74" s="517"/>
      <c r="L74" s="517"/>
      <c r="M74" s="517"/>
      <c r="N74" s="517"/>
      <c r="O74" s="517"/>
      <c r="P74" s="517"/>
      <c r="Q74" s="517"/>
      <c r="R74" s="517"/>
      <c r="S74" s="517"/>
      <c r="T74" s="517"/>
      <c r="U74" s="517"/>
      <c r="V74" s="517"/>
      <c r="W74" s="517"/>
      <c r="X74" s="517"/>
      <c r="Y74" s="517"/>
      <c r="Z74" s="517"/>
      <c r="AA74" s="517"/>
      <c r="AB74" s="517"/>
      <c r="AC74" s="517"/>
      <c r="AD74" s="517"/>
      <c r="AE74" s="517"/>
      <c r="AF74" s="517"/>
      <c r="AG74" s="517"/>
    </row>
    <row r="75" spans="2:33">
      <c r="B75" s="517"/>
      <c r="C75" s="517"/>
      <c r="D75" s="517"/>
      <c r="E75" s="517"/>
      <c r="F75" s="517"/>
      <c r="G75" s="517"/>
      <c r="H75" s="517"/>
      <c r="I75" s="517"/>
      <c r="J75" s="517"/>
      <c r="K75" s="517"/>
      <c r="L75" s="517"/>
      <c r="M75" s="517"/>
      <c r="N75" s="517"/>
      <c r="O75" s="517"/>
      <c r="P75" s="517"/>
      <c r="Q75" s="517"/>
      <c r="R75" s="517"/>
      <c r="S75" s="517"/>
      <c r="T75" s="517"/>
      <c r="U75" s="517"/>
      <c r="V75" s="517"/>
      <c r="W75" s="517"/>
      <c r="X75" s="517"/>
      <c r="Y75" s="517"/>
      <c r="Z75" s="517"/>
      <c r="AA75" s="517"/>
      <c r="AB75" s="517"/>
      <c r="AC75" s="517"/>
      <c r="AD75" s="517"/>
      <c r="AE75" s="517"/>
      <c r="AF75" s="517"/>
      <c r="AG75" s="517"/>
    </row>
    <row r="76" spans="2:33">
      <c r="B76" s="517"/>
      <c r="C76" s="517"/>
      <c r="D76" s="517"/>
      <c r="E76" s="517"/>
      <c r="F76" s="517"/>
      <c r="G76" s="517"/>
      <c r="H76" s="517"/>
      <c r="I76" s="517"/>
      <c r="J76" s="517"/>
      <c r="K76" s="517"/>
      <c r="L76" s="517"/>
      <c r="M76" s="517"/>
      <c r="N76" s="517"/>
      <c r="O76" s="517"/>
      <c r="P76" s="517"/>
      <c r="Q76" s="517"/>
      <c r="R76" s="517"/>
      <c r="S76" s="517"/>
      <c r="T76" s="517"/>
      <c r="U76" s="517"/>
      <c r="V76" s="517"/>
      <c r="W76" s="517"/>
      <c r="X76" s="517"/>
      <c r="Y76" s="517"/>
      <c r="Z76" s="517"/>
      <c r="AA76" s="517"/>
      <c r="AB76" s="517"/>
      <c r="AC76" s="517"/>
      <c r="AD76" s="517"/>
      <c r="AE76" s="517"/>
      <c r="AF76" s="517"/>
      <c r="AG76" s="517"/>
    </row>
    <row r="77" spans="2:33">
      <c r="B77" s="517"/>
      <c r="C77" s="517"/>
      <c r="D77" s="517"/>
      <c r="E77" s="517"/>
      <c r="F77" s="517"/>
      <c r="G77" s="517"/>
      <c r="H77" s="517"/>
      <c r="I77" s="517"/>
      <c r="J77" s="517"/>
      <c r="K77" s="517"/>
      <c r="L77" s="517"/>
      <c r="M77" s="517"/>
      <c r="N77" s="517"/>
      <c r="O77" s="517"/>
      <c r="P77" s="517"/>
      <c r="Q77" s="517"/>
      <c r="R77" s="517"/>
      <c r="S77" s="517"/>
      <c r="T77" s="517"/>
      <c r="U77" s="517"/>
      <c r="V77" s="517"/>
      <c r="W77" s="517"/>
      <c r="X77" s="517"/>
      <c r="Y77" s="517"/>
      <c r="Z77" s="517"/>
      <c r="AA77" s="517"/>
      <c r="AB77" s="517"/>
      <c r="AC77" s="517"/>
      <c r="AD77" s="517"/>
      <c r="AE77" s="517"/>
      <c r="AF77" s="517"/>
      <c r="AG77" s="517"/>
    </row>
    <row r="78" spans="2:33">
      <c r="B78" s="517"/>
      <c r="C78" s="517"/>
      <c r="D78" s="517"/>
      <c r="E78" s="517"/>
      <c r="F78" s="517"/>
      <c r="G78" s="517"/>
      <c r="H78" s="517"/>
      <c r="I78" s="517"/>
      <c r="J78" s="517"/>
      <c r="K78" s="517"/>
      <c r="L78" s="517"/>
      <c r="M78" s="517"/>
      <c r="N78" s="517"/>
      <c r="O78" s="517"/>
      <c r="P78" s="517"/>
      <c r="Q78" s="517"/>
      <c r="R78" s="517"/>
      <c r="S78" s="517"/>
      <c r="T78" s="517"/>
      <c r="U78" s="517"/>
      <c r="V78" s="517"/>
      <c r="W78" s="517"/>
      <c r="X78" s="517"/>
      <c r="Y78" s="517"/>
      <c r="Z78" s="517"/>
      <c r="AA78" s="517"/>
      <c r="AB78" s="517"/>
      <c r="AC78" s="517"/>
      <c r="AD78" s="517"/>
      <c r="AE78" s="517"/>
      <c r="AF78" s="517"/>
      <c r="AG78" s="517"/>
    </row>
    <row r="79" spans="2:33">
      <c r="B79" s="517"/>
      <c r="C79" s="517"/>
      <c r="D79" s="517"/>
      <c r="E79" s="517"/>
      <c r="F79" s="517"/>
      <c r="G79" s="517"/>
      <c r="H79" s="517"/>
      <c r="I79" s="517"/>
      <c r="J79" s="517"/>
      <c r="K79" s="517"/>
      <c r="L79" s="517"/>
      <c r="M79" s="517"/>
      <c r="N79" s="517"/>
      <c r="O79" s="517"/>
      <c r="P79" s="517"/>
      <c r="Q79" s="517"/>
      <c r="R79" s="517"/>
      <c r="S79" s="517"/>
      <c r="T79" s="517"/>
      <c r="U79" s="517"/>
      <c r="V79" s="517"/>
      <c r="W79" s="517"/>
      <c r="X79" s="517"/>
      <c r="Y79" s="517"/>
      <c r="Z79" s="517"/>
      <c r="AA79" s="517"/>
      <c r="AB79" s="517"/>
      <c r="AC79" s="517"/>
      <c r="AD79" s="517"/>
      <c r="AE79" s="517"/>
      <c r="AF79" s="517"/>
      <c r="AG79" s="517"/>
    </row>
    <row r="80" spans="2:33">
      <c r="B80" s="517"/>
      <c r="C80" s="517"/>
      <c r="D80" s="517"/>
      <c r="E80" s="517"/>
      <c r="F80" s="517"/>
      <c r="G80" s="517"/>
      <c r="H80" s="517"/>
      <c r="I80" s="517"/>
      <c r="J80" s="517"/>
      <c r="K80" s="517"/>
      <c r="L80" s="517"/>
      <c r="M80" s="517"/>
      <c r="N80" s="517"/>
      <c r="O80" s="517"/>
      <c r="P80" s="517"/>
      <c r="Q80" s="517"/>
      <c r="R80" s="517"/>
      <c r="S80" s="517"/>
      <c r="T80" s="517"/>
      <c r="U80" s="517"/>
      <c r="V80" s="517"/>
      <c r="W80" s="517"/>
      <c r="X80" s="517"/>
      <c r="Y80" s="517"/>
      <c r="Z80" s="517"/>
      <c r="AA80" s="517"/>
      <c r="AB80" s="517"/>
      <c r="AC80" s="517"/>
      <c r="AD80" s="517"/>
      <c r="AE80" s="517"/>
      <c r="AF80" s="517"/>
      <c r="AG80" s="517"/>
    </row>
    <row r="81" spans="2:33">
      <c r="B81" s="517"/>
      <c r="C81" s="517"/>
      <c r="D81" s="517"/>
      <c r="E81" s="517"/>
      <c r="F81" s="517"/>
      <c r="G81" s="517"/>
      <c r="H81" s="517"/>
      <c r="I81" s="517"/>
      <c r="J81" s="517"/>
      <c r="K81" s="517"/>
      <c r="L81" s="517"/>
      <c r="M81" s="517"/>
      <c r="N81" s="517"/>
      <c r="O81" s="517"/>
      <c r="P81" s="517"/>
      <c r="Q81" s="517"/>
      <c r="R81" s="517"/>
      <c r="S81" s="517"/>
      <c r="T81" s="517"/>
      <c r="U81" s="517"/>
      <c r="V81" s="517"/>
      <c r="W81" s="517"/>
      <c r="X81" s="517"/>
      <c r="Y81" s="517"/>
      <c r="Z81" s="517"/>
      <c r="AA81" s="517"/>
      <c r="AB81" s="517"/>
      <c r="AC81" s="517"/>
      <c r="AD81" s="517"/>
      <c r="AE81" s="517"/>
      <c r="AF81" s="517"/>
      <c r="AG81" s="517"/>
    </row>
    <row r="82" spans="2:33">
      <c r="B82" s="517"/>
      <c r="C82" s="517"/>
      <c r="D82" s="517"/>
      <c r="E82" s="517"/>
      <c r="F82" s="517"/>
      <c r="G82" s="517"/>
      <c r="H82" s="517"/>
      <c r="I82" s="517"/>
      <c r="J82" s="517"/>
      <c r="K82" s="517"/>
      <c r="L82" s="517"/>
      <c r="M82" s="517"/>
      <c r="N82" s="517"/>
      <c r="O82" s="517"/>
      <c r="P82" s="517"/>
      <c r="Q82" s="517"/>
      <c r="R82" s="517"/>
      <c r="S82" s="517"/>
      <c r="T82" s="517"/>
      <c r="U82" s="517"/>
      <c r="V82" s="517"/>
      <c r="W82" s="517"/>
      <c r="X82" s="517"/>
      <c r="Y82" s="517"/>
      <c r="Z82" s="517"/>
      <c r="AA82" s="517"/>
      <c r="AB82" s="517"/>
      <c r="AC82" s="517"/>
      <c r="AD82" s="517"/>
      <c r="AE82" s="517"/>
      <c r="AF82" s="517"/>
      <c r="AG82" s="517"/>
    </row>
    <row r="83" spans="2:33">
      <c r="B83" s="517"/>
      <c r="C83" s="517"/>
      <c r="D83" s="517"/>
      <c r="E83" s="517"/>
      <c r="F83" s="517"/>
      <c r="G83" s="517"/>
      <c r="H83" s="517"/>
      <c r="I83" s="517"/>
      <c r="J83" s="517"/>
      <c r="K83" s="517"/>
      <c r="L83" s="517"/>
      <c r="M83" s="517"/>
      <c r="N83" s="517"/>
      <c r="O83" s="517"/>
      <c r="P83" s="517"/>
      <c r="Q83" s="517"/>
      <c r="R83" s="517"/>
      <c r="S83" s="517"/>
      <c r="T83" s="517"/>
      <c r="U83" s="517"/>
      <c r="V83" s="517"/>
      <c r="W83" s="517"/>
      <c r="X83" s="517"/>
      <c r="Y83" s="517"/>
      <c r="Z83" s="517"/>
      <c r="AA83" s="517"/>
      <c r="AB83" s="517"/>
      <c r="AC83" s="517"/>
      <c r="AD83" s="517"/>
      <c r="AE83" s="517"/>
      <c r="AF83" s="517"/>
      <c r="AG83" s="517"/>
    </row>
    <row r="84" spans="2:33">
      <c r="B84" s="517"/>
      <c r="C84" s="517"/>
      <c r="D84" s="517"/>
      <c r="E84" s="517"/>
      <c r="F84" s="517"/>
      <c r="G84" s="517"/>
      <c r="H84" s="517"/>
      <c r="I84" s="517"/>
      <c r="J84" s="517"/>
      <c r="K84" s="517"/>
      <c r="L84" s="517"/>
      <c r="M84" s="517"/>
      <c r="N84" s="517"/>
      <c r="O84" s="517"/>
      <c r="P84" s="517"/>
      <c r="Q84" s="517"/>
      <c r="R84" s="517"/>
      <c r="S84" s="517"/>
      <c r="T84" s="517"/>
      <c r="U84" s="517"/>
      <c r="V84" s="517"/>
      <c r="W84" s="517"/>
      <c r="X84" s="517"/>
      <c r="Y84" s="517"/>
      <c r="Z84" s="517"/>
      <c r="AA84" s="517"/>
      <c r="AB84" s="517"/>
      <c r="AC84" s="517"/>
      <c r="AD84" s="517"/>
      <c r="AE84" s="517"/>
      <c r="AF84" s="517"/>
      <c r="AG84" s="517"/>
    </row>
    <row r="85" spans="2:33">
      <c r="B85" s="517"/>
      <c r="C85" s="517"/>
      <c r="D85" s="517"/>
      <c r="E85" s="517"/>
      <c r="F85" s="517"/>
      <c r="G85" s="517"/>
      <c r="H85" s="517"/>
      <c r="I85" s="517"/>
      <c r="J85" s="517"/>
      <c r="K85" s="517"/>
      <c r="L85" s="517"/>
      <c r="M85" s="517"/>
      <c r="N85" s="517"/>
      <c r="O85" s="517"/>
      <c r="P85" s="517"/>
      <c r="Q85" s="517"/>
      <c r="R85" s="517"/>
      <c r="S85" s="517"/>
      <c r="T85" s="517"/>
      <c r="U85" s="517"/>
      <c r="V85" s="517"/>
      <c r="W85" s="517"/>
      <c r="X85" s="517"/>
      <c r="Y85" s="517"/>
      <c r="Z85" s="517"/>
      <c r="AA85" s="517"/>
      <c r="AB85" s="517"/>
      <c r="AC85" s="517"/>
      <c r="AD85" s="517"/>
      <c r="AE85" s="517"/>
      <c r="AF85" s="517"/>
      <c r="AG85" s="517"/>
    </row>
    <row r="86" spans="2:33">
      <c r="B86" s="517"/>
      <c r="C86" s="517"/>
      <c r="D86" s="517"/>
      <c r="E86" s="517"/>
      <c r="F86" s="517"/>
      <c r="G86" s="517"/>
      <c r="H86" s="517"/>
      <c r="I86" s="517"/>
      <c r="J86" s="517"/>
      <c r="K86" s="517"/>
      <c r="L86" s="517"/>
      <c r="M86" s="517"/>
      <c r="N86" s="517"/>
      <c r="O86" s="517"/>
      <c r="P86" s="517"/>
      <c r="Q86" s="517"/>
      <c r="R86" s="517"/>
      <c r="S86" s="517"/>
      <c r="T86" s="517"/>
      <c r="U86" s="517"/>
      <c r="V86" s="517"/>
      <c r="W86" s="517"/>
      <c r="X86" s="517"/>
      <c r="Y86" s="517"/>
      <c r="Z86" s="517"/>
      <c r="AA86" s="517"/>
      <c r="AB86" s="517"/>
      <c r="AC86" s="517"/>
      <c r="AD86" s="517"/>
      <c r="AE86" s="517"/>
      <c r="AF86" s="517"/>
      <c r="AG86" s="517"/>
    </row>
    <row r="87" spans="2:33">
      <c r="B87" s="517"/>
      <c r="C87" s="517"/>
      <c r="D87" s="517"/>
      <c r="E87" s="517"/>
      <c r="F87" s="517"/>
      <c r="G87" s="517"/>
      <c r="H87" s="517"/>
      <c r="I87" s="517"/>
      <c r="J87" s="517"/>
      <c r="K87" s="517"/>
      <c r="L87" s="517"/>
      <c r="M87" s="517"/>
      <c r="N87" s="517"/>
      <c r="O87" s="517"/>
      <c r="P87" s="517"/>
      <c r="Q87" s="517"/>
      <c r="R87" s="517"/>
      <c r="S87" s="517"/>
      <c r="T87" s="517"/>
      <c r="U87" s="517"/>
      <c r="V87" s="517"/>
      <c r="W87" s="517"/>
      <c r="X87" s="517"/>
      <c r="Y87" s="517"/>
      <c r="Z87" s="517"/>
      <c r="AA87" s="517"/>
      <c r="AB87" s="517"/>
      <c r="AC87" s="517"/>
      <c r="AD87" s="517"/>
      <c r="AE87" s="517"/>
      <c r="AF87" s="517"/>
      <c r="AG87" s="517"/>
    </row>
    <row r="88" spans="2:33">
      <c r="B88" s="517"/>
      <c r="C88" s="517"/>
      <c r="D88" s="517"/>
      <c r="E88" s="517"/>
      <c r="F88" s="517"/>
      <c r="G88" s="517"/>
      <c r="H88" s="517"/>
      <c r="I88" s="517"/>
      <c r="J88" s="517"/>
      <c r="K88" s="517"/>
      <c r="L88" s="517"/>
      <c r="M88" s="517"/>
      <c r="N88" s="517"/>
      <c r="O88" s="517"/>
      <c r="P88" s="517"/>
      <c r="Q88" s="517"/>
      <c r="R88" s="517"/>
      <c r="S88" s="517"/>
      <c r="T88" s="517"/>
      <c r="U88" s="517"/>
      <c r="V88" s="517"/>
      <c r="W88" s="517"/>
      <c r="X88" s="517"/>
      <c r="Y88" s="517"/>
      <c r="Z88" s="517"/>
      <c r="AA88" s="517"/>
      <c r="AB88" s="517"/>
      <c r="AC88" s="517"/>
      <c r="AD88" s="517"/>
      <c r="AE88" s="517"/>
      <c r="AF88" s="517"/>
      <c r="AG88" s="517"/>
    </row>
    <row r="89" spans="2:33">
      <c r="B89" s="517"/>
      <c r="C89" s="517"/>
      <c r="D89" s="517"/>
      <c r="E89" s="517"/>
      <c r="F89" s="517"/>
      <c r="G89" s="517"/>
      <c r="H89" s="517"/>
      <c r="I89" s="517"/>
      <c r="J89" s="517"/>
      <c r="K89" s="517"/>
      <c r="L89" s="517"/>
      <c r="M89" s="517"/>
      <c r="N89" s="517"/>
      <c r="O89" s="517"/>
      <c r="P89" s="517"/>
      <c r="Q89" s="517"/>
      <c r="R89" s="517"/>
      <c r="S89" s="517"/>
      <c r="T89" s="517"/>
      <c r="U89" s="517"/>
      <c r="V89" s="517"/>
      <c r="W89" s="517"/>
      <c r="X89" s="517"/>
      <c r="Y89" s="517"/>
      <c r="Z89" s="517"/>
      <c r="AA89" s="517"/>
      <c r="AB89" s="517"/>
      <c r="AC89" s="517"/>
      <c r="AD89" s="517"/>
      <c r="AE89" s="517"/>
      <c r="AF89" s="517"/>
      <c r="AG89" s="517"/>
    </row>
    <row r="90" spans="2:33">
      <c r="B90" s="517"/>
      <c r="C90" s="517"/>
      <c r="D90" s="517"/>
      <c r="E90" s="517"/>
      <c r="F90" s="517"/>
      <c r="G90" s="517"/>
      <c r="H90" s="517"/>
      <c r="I90" s="517"/>
      <c r="J90" s="517"/>
      <c r="K90" s="517"/>
      <c r="L90" s="517"/>
      <c r="M90" s="517"/>
      <c r="N90" s="517"/>
      <c r="O90" s="517"/>
      <c r="P90" s="517"/>
      <c r="Q90" s="517"/>
      <c r="R90" s="517"/>
      <c r="S90" s="517"/>
      <c r="T90" s="517"/>
      <c r="U90" s="517"/>
      <c r="V90" s="517"/>
      <c r="W90" s="517"/>
      <c r="X90" s="517"/>
      <c r="Y90" s="517"/>
      <c r="Z90" s="517"/>
      <c r="AA90" s="517"/>
      <c r="AB90" s="517"/>
      <c r="AC90" s="517"/>
      <c r="AD90" s="517"/>
      <c r="AE90" s="517"/>
      <c r="AF90" s="517"/>
      <c r="AG90" s="517"/>
    </row>
    <row r="91" spans="2:33">
      <c r="B91" s="517"/>
      <c r="C91" s="517"/>
      <c r="D91" s="517"/>
      <c r="E91" s="517"/>
      <c r="F91" s="517"/>
      <c r="G91" s="517"/>
      <c r="H91" s="517"/>
      <c r="I91" s="517"/>
      <c r="J91" s="517"/>
      <c r="K91" s="517"/>
      <c r="L91" s="517"/>
      <c r="M91" s="517"/>
      <c r="N91" s="517"/>
      <c r="O91" s="517"/>
      <c r="P91" s="517"/>
      <c r="Q91" s="517"/>
      <c r="R91" s="517"/>
      <c r="S91" s="517"/>
      <c r="T91" s="517"/>
      <c r="U91" s="517"/>
      <c r="V91" s="517"/>
      <c r="W91" s="517"/>
      <c r="X91" s="517"/>
      <c r="Y91" s="517"/>
      <c r="Z91" s="517"/>
      <c r="AA91" s="517"/>
      <c r="AB91" s="517"/>
      <c r="AC91" s="517"/>
      <c r="AD91" s="517"/>
      <c r="AE91" s="517"/>
      <c r="AF91" s="517"/>
      <c r="AG91" s="517"/>
    </row>
    <row r="92" spans="2:33">
      <c r="B92" s="517"/>
      <c r="C92" s="517"/>
      <c r="D92" s="517"/>
      <c r="E92" s="517"/>
      <c r="F92" s="517"/>
      <c r="G92" s="517"/>
      <c r="H92" s="517"/>
      <c r="I92" s="517"/>
      <c r="J92" s="517"/>
      <c r="K92" s="517"/>
      <c r="L92" s="517"/>
      <c r="M92" s="517"/>
      <c r="N92" s="517"/>
      <c r="O92" s="517"/>
      <c r="P92" s="517"/>
      <c r="Q92" s="517"/>
      <c r="R92" s="517"/>
      <c r="S92" s="517"/>
      <c r="T92" s="517"/>
      <c r="U92" s="517"/>
      <c r="V92" s="517"/>
      <c r="W92" s="517"/>
      <c r="X92" s="517"/>
      <c r="Y92" s="517"/>
      <c r="Z92" s="517"/>
      <c r="AA92" s="517"/>
      <c r="AB92" s="517"/>
      <c r="AC92" s="517"/>
      <c r="AD92" s="517"/>
      <c r="AE92" s="517"/>
      <c r="AF92" s="517"/>
      <c r="AG92" s="517"/>
    </row>
    <row r="93" spans="2:33">
      <c r="B93" s="517"/>
      <c r="C93" s="517"/>
      <c r="D93" s="517"/>
      <c r="E93" s="517"/>
      <c r="F93" s="517"/>
      <c r="G93" s="517"/>
      <c r="H93" s="517"/>
      <c r="I93" s="517"/>
      <c r="J93" s="517"/>
      <c r="K93" s="517"/>
      <c r="L93" s="517"/>
      <c r="M93" s="517"/>
      <c r="N93" s="517"/>
      <c r="O93" s="517"/>
      <c r="P93" s="517"/>
      <c r="Q93" s="517"/>
      <c r="R93" s="517"/>
      <c r="S93" s="517"/>
      <c r="T93" s="517"/>
      <c r="U93" s="517"/>
      <c r="V93" s="517"/>
      <c r="W93" s="517"/>
      <c r="X93" s="517"/>
      <c r="Y93" s="517"/>
      <c r="Z93" s="517"/>
      <c r="AA93" s="517"/>
      <c r="AB93" s="517"/>
      <c r="AC93" s="517"/>
      <c r="AD93" s="517"/>
      <c r="AE93" s="517"/>
      <c r="AF93" s="517"/>
      <c r="AG93" s="517"/>
    </row>
    <row r="94" spans="2:33">
      <c r="B94" s="517"/>
      <c r="C94" s="517"/>
      <c r="D94" s="517"/>
      <c r="E94" s="517"/>
      <c r="F94" s="517"/>
      <c r="G94" s="517"/>
      <c r="H94" s="517"/>
      <c r="I94" s="517"/>
      <c r="J94" s="517"/>
      <c r="K94" s="517"/>
      <c r="L94" s="517"/>
      <c r="M94" s="517"/>
      <c r="N94" s="517"/>
      <c r="O94" s="517"/>
      <c r="P94" s="517"/>
      <c r="Q94" s="517"/>
      <c r="R94" s="517"/>
      <c r="S94" s="517"/>
      <c r="T94" s="517"/>
      <c r="U94" s="517"/>
      <c r="V94" s="517"/>
      <c r="W94" s="517"/>
      <c r="X94" s="517"/>
      <c r="Y94" s="517"/>
      <c r="Z94" s="517"/>
      <c r="AA94" s="517"/>
      <c r="AB94" s="517"/>
      <c r="AC94" s="517"/>
      <c r="AD94" s="517"/>
      <c r="AE94" s="517"/>
      <c r="AF94" s="517"/>
      <c r="AG94" s="517"/>
    </row>
    <row r="95" spans="2:33">
      <c r="B95" s="517"/>
      <c r="C95" s="517"/>
      <c r="D95" s="517"/>
      <c r="E95" s="517"/>
      <c r="F95" s="517"/>
      <c r="G95" s="517"/>
      <c r="H95" s="517"/>
      <c r="I95" s="517"/>
      <c r="J95" s="517"/>
      <c r="K95" s="517"/>
      <c r="L95" s="517"/>
      <c r="M95" s="517"/>
      <c r="N95" s="517"/>
      <c r="O95" s="517"/>
      <c r="P95" s="517"/>
      <c r="Q95" s="517"/>
      <c r="R95" s="517"/>
      <c r="S95" s="517"/>
      <c r="T95" s="517"/>
      <c r="U95" s="517"/>
      <c r="V95" s="517"/>
      <c r="W95" s="517"/>
      <c r="X95" s="517"/>
      <c r="Y95" s="517"/>
      <c r="Z95" s="517"/>
      <c r="AA95" s="517"/>
      <c r="AB95" s="517"/>
      <c r="AC95" s="517"/>
      <c r="AD95" s="517"/>
      <c r="AE95" s="517"/>
      <c r="AF95" s="517"/>
      <c r="AG95" s="517"/>
    </row>
    <row r="96" spans="2:33">
      <c r="B96" s="517"/>
      <c r="C96" s="517"/>
      <c r="D96" s="517"/>
      <c r="E96" s="517"/>
      <c r="F96" s="517"/>
      <c r="G96" s="517"/>
      <c r="H96" s="517"/>
      <c r="I96" s="517"/>
      <c r="J96" s="517"/>
      <c r="K96" s="517"/>
      <c r="L96" s="517"/>
      <c r="M96" s="517"/>
      <c r="N96" s="517"/>
      <c r="O96" s="517"/>
      <c r="P96" s="517"/>
      <c r="Q96" s="517"/>
      <c r="R96" s="517"/>
      <c r="S96" s="517"/>
      <c r="T96" s="517"/>
      <c r="U96" s="517"/>
      <c r="V96" s="517"/>
      <c r="W96" s="517"/>
      <c r="X96" s="517"/>
      <c r="Y96" s="517"/>
      <c r="Z96" s="517"/>
      <c r="AA96" s="517"/>
      <c r="AB96" s="517"/>
      <c r="AC96" s="517"/>
      <c r="AD96" s="517"/>
      <c r="AE96" s="517"/>
      <c r="AF96" s="517"/>
      <c r="AG96" s="517"/>
    </row>
    <row r="97" spans="2:33">
      <c r="B97" s="517"/>
      <c r="C97" s="517"/>
      <c r="D97" s="517"/>
      <c r="E97" s="517"/>
      <c r="F97" s="517"/>
      <c r="G97" s="517"/>
      <c r="H97" s="517"/>
      <c r="I97" s="517"/>
      <c r="J97" s="517"/>
      <c r="K97" s="517"/>
      <c r="L97" s="517"/>
      <c r="M97" s="517"/>
      <c r="N97" s="517"/>
      <c r="O97" s="517"/>
      <c r="P97" s="517"/>
      <c r="Q97" s="517"/>
      <c r="R97" s="517"/>
      <c r="S97" s="517"/>
      <c r="T97" s="517"/>
      <c r="U97" s="517"/>
      <c r="V97" s="517"/>
      <c r="W97" s="517"/>
      <c r="X97" s="517"/>
      <c r="Y97" s="517"/>
      <c r="Z97" s="517"/>
      <c r="AA97" s="517"/>
      <c r="AB97" s="517"/>
      <c r="AC97" s="517"/>
      <c r="AD97" s="517"/>
      <c r="AE97" s="517"/>
      <c r="AF97" s="517"/>
      <c r="AG97" s="517"/>
    </row>
    <row r="98" spans="2:33">
      <c r="B98" s="517"/>
      <c r="C98" s="517"/>
      <c r="D98" s="517"/>
      <c r="E98" s="517"/>
      <c r="F98" s="517"/>
      <c r="G98" s="517"/>
      <c r="H98" s="517"/>
      <c r="I98" s="517"/>
      <c r="J98" s="517"/>
      <c r="K98" s="517"/>
      <c r="L98" s="517"/>
      <c r="M98" s="517"/>
      <c r="N98" s="517"/>
      <c r="O98" s="517"/>
      <c r="P98" s="517"/>
      <c r="Q98" s="517"/>
      <c r="R98" s="517"/>
      <c r="S98" s="517"/>
      <c r="T98" s="517"/>
      <c r="U98" s="517"/>
      <c r="V98" s="517"/>
      <c r="W98" s="517"/>
      <c r="X98" s="517"/>
      <c r="Y98" s="517"/>
      <c r="Z98" s="517"/>
      <c r="AA98" s="517"/>
      <c r="AB98" s="517"/>
      <c r="AC98" s="517"/>
      <c r="AD98" s="517"/>
      <c r="AE98" s="517"/>
      <c r="AF98" s="517"/>
      <c r="AG98" s="517"/>
    </row>
    <row r="99" spans="2:33">
      <c r="B99" s="517"/>
      <c r="C99" s="517"/>
      <c r="D99" s="517"/>
      <c r="E99" s="517"/>
      <c r="F99" s="517"/>
      <c r="G99" s="517"/>
      <c r="H99" s="517"/>
      <c r="I99" s="517"/>
      <c r="J99" s="517"/>
      <c r="K99" s="517"/>
      <c r="L99" s="517"/>
      <c r="M99" s="517"/>
      <c r="N99" s="517"/>
      <c r="O99" s="517"/>
      <c r="P99" s="517"/>
      <c r="Q99" s="517"/>
      <c r="R99" s="517"/>
      <c r="S99" s="517"/>
      <c r="T99" s="517"/>
      <c r="U99" s="517"/>
      <c r="V99" s="517"/>
      <c r="W99" s="517"/>
      <c r="X99" s="517"/>
      <c r="Y99" s="517"/>
      <c r="Z99" s="517"/>
      <c r="AA99" s="517"/>
      <c r="AB99" s="517"/>
      <c r="AC99" s="517"/>
      <c r="AD99" s="517"/>
      <c r="AE99" s="517"/>
      <c r="AF99" s="517"/>
      <c r="AG99" s="517"/>
    </row>
    <row r="100" spans="2:33">
      <c r="B100" s="517"/>
      <c r="C100" s="517"/>
      <c r="D100" s="517"/>
      <c r="E100" s="517"/>
      <c r="F100" s="517"/>
      <c r="G100" s="517"/>
      <c r="H100" s="517"/>
      <c r="I100" s="517"/>
      <c r="J100" s="517"/>
      <c r="K100" s="517"/>
      <c r="L100" s="517"/>
      <c r="M100" s="517"/>
      <c r="N100" s="517"/>
      <c r="O100" s="517"/>
      <c r="P100" s="517"/>
      <c r="Q100" s="517"/>
      <c r="R100" s="517"/>
      <c r="S100" s="517"/>
      <c r="T100" s="517"/>
      <c r="U100" s="517"/>
      <c r="V100" s="517"/>
      <c r="W100" s="517"/>
      <c r="X100" s="517"/>
      <c r="Y100" s="517"/>
      <c r="Z100" s="517"/>
      <c r="AA100" s="517"/>
      <c r="AB100" s="517"/>
      <c r="AC100" s="517"/>
      <c r="AD100" s="517"/>
      <c r="AE100" s="517"/>
      <c r="AF100" s="517"/>
      <c r="AG100" s="517"/>
    </row>
    <row r="101" spans="2:33">
      <c r="B101" s="517"/>
      <c r="C101" s="517"/>
      <c r="D101" s="517"/>
      <c r="E101" s="517"/>
      <c r="F101" s="517"/>
      <c r="G101" s="517"/>
      <c r="H101" s="517"/>
      <c r="I101" s="517"/>
      <c r="J101" s="517"/>
      <c r="K101" s="517"/>
      <c r="L101" s="517"/>
      <c r="M101" s="517"/>
      <c r="N101" s="517"/>
      <c r="O101" s="517"/>
      <c r="P101" s="517"/>
      <c r="Q101" s="517"/>
      <c r="R101" s="517"/>
      <c r="S101" s="517"/>
      <c r="T101" s="517"/>
      <c r="U101" s="517"/>
      <c r="V101" s="517"/>
      <c r="W101" s="517"/>
      <c r="X101" s="517"/>
      <c r="Y101" s="517"/>
      <c r="Z101" s="517"/>
      <c r="AA101" s="517"/>
      <c r="AB101" s="517"/>
      <c r="AC101" s="517"/>
      <c r="AD101" s="517"/>
      <c r="AE101" s="517"/>
      <c r="AF101" s="517"/>
      <c r="AG101" s="517"/>
    </row>
    <row r="102" spans="2:33">
      <c r="B102" s="517"/>
      <c r="C102" s="517"/>
      <c r="D102" s="517"/>
      <c r="E102" s="517"/>
      <c r="F102" s="517"/>
      <c r="G102" s="517"/>
      <c r="H102" s="517"/>
      <c r="I102" s="517"/>
      <c r="J102" s="517"/>
      <c r="K102" s="517"/>
      <c r="L102" s="517"/>
      <c r="M102" s="517"/>
      <c r="N102" s="517"/>
      <c r="O102" s="517"/>
      <c r="P102" s="517"/>
      <c r="Q102" s="517"/>
      <c r="R102" s="517"/>
      <c r="S102" s="517"/>
      <c r="T102" s="517"/>
      <c r="U102" s="517"/>
      <c r="V102" s="517"/>
      <c r="W102" s="517"/>
      <c r="X102" s="517"/>
      <c r="Y102" s="517"/>
      <c r="Z102" s="517"/>
      <c r="AA102" s="517"/>
      <c r="AB102" s="517"/>
      <c r="AC102" s="517"/>
      <c r="AD102" s="517"/>
      <c r="AE102" s="517"/>
      <c r="AF102" s="517"/>
      <c r="AG102" s="517"/>
    </row>
    <row r="103" spans="2:33">
      <c r="B103" s="517"/>
      <c r="C103" s="517"/>
      <c r="D103" s="517"/>
      <c r="E103" s="517"/>
      <c r="F103" s="517"/>
      <c r="G103" s="517"/>
      <c r="H103" s="517"/>
      <c r="I103" s="517"/>
      <c r="J103" s="517"/>
      <c r="K103" s="517"/>
      <c r="L103" s="517"/>
      <c r="M103" s="517"/>
      <c r="N103" s="517"/>
      <c r="O103" s="517"/>
      <c r="P103" s="517"/>
      <c r="Q103" s="517"/>
      <c r="R103" s="517"/>
      <c r="S103" s="517"/>
      <c r="T103" s="517"/>
      <c r="U103" s="517"/>
      <c r="V103" s="517"/>
      <c r="W103" s="517"/>
      <c r="X103" s="517"/>
      <c r="Y103" s="517"/>
      <c r="Z103" s="517"/>
      <c r="AA103" s="517"/>
      <c r="AB103" s="517"/>
      <c r="AC103" s="517"/>
      <c r="AD103" s="517"/>
      <c r="AE103" s="517"/>
      <c r="AF103" s="517"/>
      <c r="AG103" s="517"/>
    </row>
    <row r="104" spans="2:33">
      <c r="B104" s="517"/>
      <c r="C104" s="517"/>
      <c r="D104" s="517"/>
      <c r="E104" s="517"/>
      <c r="F104" s="517"/>
      <c r="G104" s="517"/>
      <c r="H104" s="517"/>
      <c r="I104" s="517"/>
      <c r="J104" s="517"/>
      <c r="K104" s="517"/>
      <c r="L104" s="517"/>
      <c r="M104" s="517"/>
      <c r="N104" s="517"/>
      <c r="O104" s="517"/>
      <c r="P104" s="517"/>
      <c r="Q104" s="517"/>
      <c r="R104" s="517"/>
      <c r="S104" s="517"/>
      <c r="T104" s="517"/>
      <c r="U104" s="517"/>
      <c r="V104" s="517"/>
      <c r="W104" s="517"/>
      <c r="X104" s="517"/>
      <c r="Y104" s="517"/>
      <c r="Z104" s="517"/>
      <c r="AA104" s="517"/>
      <c r="AB104" s="517"/>
      <c r="AC104" s="517"/>
      <c r="AD104" s="517"/>
      <c r="AE104" s="517"/>
      <c r="AF104" s="517"/>
      <c r="AG104" s="517"/>
    </row>
    <row r="105" spans="2:33">
      <c r="B105" s="517"/>
      <c r="C105" s="517"/>
      <c r="D105" s="517"/>
      <c r="E105" s="517"/>
      <c r="F105" s="517"/>
      <c r="G105" s="517"/>
      <c r="H105" s="517"/>
      <c r="I105" s="517"/>
      <c r="J105" s="517"/>
      <c r="K105" s="517"/>
      <c r="L105" s="517"/>
      <c r="M105" s="517"/>
      <c r="N105" s="517"/>
      <c r="O105" s="517"/>
      <c r="P105" s="517"/>
      <c r="Q105" s="517"/>
      <c r="R105" s="517"/>
      <c r="S105" s="517"/>
      <c r="T105" s="517"/>
      <c r="U105" s="517"/>
      <c r="V105" s="517"/>
      <c r="W105" s="517"/>
      <c r="X105" s="517"/>
      <c r="Y105" s="517"/>
      <c r="Z105" s="517"/>
      <c r="AA105" s="517"/>
      <c r="AB105" s="517"/>
      <c r="AC105" s="517"/>
      <c r="AD105" s="517"/>
      <c r="AE105" s="517"/>
      <c r="AF105" s="517"/>
      <c r="AG105" s="517"/>
    </row>
    <row r="106" spans="2:33">
      <c r="B106" s="517"/>
      <c r="C106" s="517"/>
      <c r="D106" s="517"/>
      <c r="E106" s="517"/>
      <c r="F106" s="517"/>
      <c r="G106" s="517"/>
      <c r="H106" s="517"/>
      <c r="I106" s="517"/>
      <c r="J106" s="517"/>
      <c r="K106" s="517"/>
      <c r="L106" s="517"/>
      <c r="M106" s="517"/>
      <c r="N106" s="517"/>
      <c r="O106" s="517"/>
      <c r="P106" s="517"/>
      <c r="Q106" s="517"/>
      <c r="R106" s="517"/>
      <c r="S106" s="517"/>
      <c r="T106" s="517"/>
      <c r="U106" s="517"/>
      <c r="V106" s="517"/>
      <c r="W106" s="517"/>
      <c r="X106" s="517"/>
      <c r="Y106" s="517"/>
      <c r="Z106" s="517"/>
      <c r="AA106" s="517"/>
      <c r="AB106" s="517"/>
      <c r="AC106" s="517"/>
      <c r="AD106" s="517"/>
      <c r="AE106" s="517"/>
      <c r="AF106" s="517"/>
      <c r="AG106" s="517"/>
    </row>
    <row r="107" spans="2:33">
      <c r="B107" s="517"/>
      <c r="C107" s="517"/>
      <c r="D107" s="517"/>
      <c r="E107" s="517"/>
      <c r="F107" s="517"/>
      <c r="G107" s="517"/>
      <c r="H107" s="517"/>
      <c r="I107" s="517"/>
      <c r="J107" s="517"/>
      <c r="K107" s="517"/>
      <c r="L107" s="517"/>
      <c r="M107" s="517"/>
      <c r="N107" s="517"/>
      <c r="O107" s="517"/>
      <c r="P107" s="517"/>
      <c r="Q107" s="517"/>
      <c r="R107" s="517"/>
      <c r="S107" s="517"/>
      <c r="T107" s="517"/>
      <c r="U107" s="517"/>
      <c r="V107" s="517"/>
      <c r="W107" s="517"/>
      <c r="X107" s="517"/>
      <c r="Y107" s="517"/>
      <c r="Z107" s="517"/>
      <c r="AA107" s="517"/>
      <c r="AB107" s="517"/>
      <c r="AC107" s="517"/>
      <c r="AD107" s="517"/>
      <c r="AE107" s="517"/>
      <c r="AF107" s="517"/>
      <c r="AG107" s="517"/>
    </row>
    <row r="108" spans="2:33">
      <c r="B108" s="517"/>
      <c r="C108" s="517"/>
      <c r="D108" s="517"/>
      <c r="E108" s="517"/>
      <c r="F108" s="517"/>
      <c r="G108" s="517"/>
      <c r="H108" s="517"/>
      <c r="I108" s="517"/>
      <c r="J108" s="517"/>
      <c r="K108" s="517"/>
      <c r="L108" s="517"/>
      <c r="M108" s="517"/>
      <c r="N108" s="517"/>
      <c r="O108" s="517"/>
      <c r="P108" s="517"/>
      <c r="Q108" s="517"/>
      <c r="R108" s="517"/>
      <c r="S108" s="517"/>
      <c r="T108" s="517"/>
      <c r="U108" s="517"/>
      <c r="V108" s="517"/>
      <c r="W108" s="517"/>
      <c r="X108" s="517"/>
      <c r="Y108" s="517"/>
      <c r="Z108" s="517"/>
      <c r="AA108" s="517"/>
      <c r="AB108" s="517"/>
      <c r="AC108" s="517"/>
      <c r="AD108" s="517"/>
      <c r="AE108" s="517"/>
      <c r="AF108" s="517"/>
      <c r="AG108" s="517"/>
    </row>
    <row r="109" spans="2:33">
      <c r="B109" s="517"/>
      <c r="C109" s="517"/>
      <c r="D109" s="517"/>
      <c r="E109" s="517"/>
      <c r="F109" s="517"/>
      <c r="G109" s="517"/>
      <c r="H109" s="517"/>
      <c r="I109" s="517"/>
      <c r="J109" s="517"/>
      <c r="K109" s="517"/>
      <c r="L109" s="517"/>
      <c r="M109" s="517"/>
      <c r="N109" s="517"/>
      <c r="O109" s="517"/>
      <c r="P109" s="517"/>
      <c r="Q109" s="517"/>
      <c r="R109" s="517"/>
      <c r="S109" s="517"/>
      <c r="T109" s="517"/>
      <c r="U109" s="517"/>
      <c r="V109" s="517"/>
      <c r="W109" s="517"/>
      <c r="X109" s="517"/>
      <c r="Y109" s="517"/>
      <c r="Z109" s="517"/>
      <c r="AA109" s="517"/>
      <c r="AB109" s="517"/>
      <c r="AC109" s="517"/>
      <c r="AD109" s="517"/>
      <c r="AE109" s="517"/>
      <c r="AF109" s="517"/>
      <c r="AG109" s="517"/>
    </row>
    <row r="110" spans="2:33">
      <c r="B110" s="517"/>
      <c r="C110" s="517"/>
      <c r="D110" s="517"/>
      <c r="E110" s="517"/>
      <c r="F110" s="517"/>
      <c r="G110" s="517"/>
      <c r="H110" s="517"/>
      <c r="I110" s="517"/>
      <c r="J110" s="517"/>
      <c r="K110" s="517"/>
      <c r="L110" s="517"/>
      <c r="M110" s="517"/>
      <c r="N110" s="517"/>
      <c r="O110" s="517"/>
      <c r="P110" s="517"/>
      <c r="Q110" s="517"/>
      <c r="R110" s="517"/>
      <c r="S110" s="517"/>
      <c r="T110" s="517"/>
      <c r="U110" s="517"/>
      <c r="V110" s="517"/>
      <c r="W110" s="517"/>
      <c r="X110" s="517"/>
      <c r="Y110" s="517"/>
      <c r="Z110" s="517"/>
      <c r="AA110" s="517"/>
      <c r="AB110" s="517"/>
      <c r="AC110" s="517"/>
      <c r="AD110" s="517"/>
      <c r="AE110" s="517"/>
      <c r="AF110" s="517"/>
      <c r="AG110" s="517"/>
    </row>
    <row r="111" spans="2:33">
      <c r="B111" s="517"/>
      <c r="C111" s="517"/>
      <c r="D111" s="517"/>
      <c r="E111" s="517"/>
      <c r="F111" s="517"/>
      <c r="G111" s="517"/>
      <c r="H111" s="517"/>
      <c r="I111" s="517"/>
      <c r="J111" s="517"/>
      <c r="K111" s="517"/>
      <c r="L111" s="517"/>
      <c r="M111" s="517"/>
      <c r="N111" s="517"/>
      <c r="O111" s="517"/>
      <c r="P111" s="517"/>
      <c r="Q111" s="517"/>
      <c r="R111" s="517"/>
      <c r="S111" s="517"/>
      <c r="T111" s="517"/>
      <c r="U111" s="517"/>
      <c r="V111" s="517"/>
      <c r="W111" s="517"/>
      <c r="X111" s="517"/>
      <c r="Y111" s="517"/>
      <c r="Z111" s="517"/>
      <c r="AA111" s="517"/>
      <c r="AB111" s="517"/>
      <c r="AC111" s="517"/>
      <c r="AD111" s="517"/>
      <c r="AE111" s="517"/>
      <c r="AF111" s="517"/>
      <c r="AG111" s="517"/>
    </row>
    <row r="112" spans="2:33">
      <c r="B112" s="517"/>
      <c r="C112" s="517"/>
      <c r="D112" s="517"/>
      <c r="E112" s="517"/>
      <c r="F112" s="517"/>
      <c r="G112" s="517"/>
      <c r="H112" s="517"/>
      <c r="I112" s="517"/>
      <c r="J112" s="517"/>
      <c r="K112" s="517"/>
      <c r="L112" s="517"/>
      <c r="M112" s="517"/>
      <c r="N112" s="517"/>
      <c r="O112" s="517"/>
      <c r="P112" s="517"/>
      <c r="Q112" s="517"/>
      <c r="R112" s="517"/>
      <c r="S112" s="517"/>
      <c r="T112" s="517"/>
      <c r="U112" s="517"/>
      <c r="V112" s="517"/>
      <c r="W112" s="517"/>
      <c r="X112" s="517"/>
      <c r="Y112" s="517"/>
      <c r="Z112" s="517"/>
      <c r="AA112" s="517"/>
      <c r="AB112" s="517"/>
      <c r="AC112" s="517"/>
      <c r="AD112" s="517"/>
      <c r="AE112" s="517"/>
      <c r="AF112" s="517"/>
      <c r="AG112" s="517"/>
    </row>
    <row r="113" spans="2:33">
      <c r="B113" s="517"/>
      <c r="C113" s="517"/>
      <c r="D113" s="517"/>
      <c r="E113" s="517"/>
      <c r="F113" s="517"/>
      <c r="G113" s="517"/>
      <c r="H113" s="517"/>
      <c r="I113" s="517"/>
      <c r="J113" s="517"/>
      <c r="K113" s="517"/>
      <c r="L113" s="517"/>
      <c r="M113" s="517"/>
      <c r="N113" s="517"/>
      <c r="O113" s="517"/>
      <c r="P113" s="517"/>
      <c r="Q113" s="517"/>
      <c r="R113" s="517"/>
      <c r="S113" s="517"/>
      <c r="T113" s="517"/>
      <c r="U113" s="517"/>
      <c r="V113" s="517"/>
      <c r="W113" s="517"/>
      <c r="X113" s="517"/>
      <c r="Y113" s="517"/>
      <c r="Z113" s="517"/>
      <c r="AA113" s="517"/>
      <c r="AB113" s="517"/>
      <c r="AC113" s="517"/>
      <c r="AD113" s="517"/>
      <c r="AE113" s="517"/>
      <c r="AF113" s="517"/>
      <c r="AG113" s="517"/>
    </row>
    <row r="114" spans="2:33">
      <c r="B114" s="517"/>
      <c r="C114" s="517"/>
      <c r="D114" s="517"/>
      <c r="E114" s="517"/>
      <c r="F114" s="517"/>
      <c r="G114" s="517"/>
      <c r="H114" s="517"/>
      <c r="I114" s="517"/>
      <c r="J114" s="517"/>
      <c r="K114" s="517"/>
      <c r="L114" s="517"/>
      <c r="M114" s="517"/>
      <c r="N114" s="517"/>
      <c r="O114" s="517"/>
      <c r="P114" s="517"/>
      <c r="Q114" s="517"/>
      <c r="R114" s="517"/>
      <c r="S114" s="517"/>
      <c r="T114" s="517"/>
      <c r="U114" s="517"/>
      <c r="V114" s="517"/>
      <c r="W114" s="517"/>
      <c r="X114" s="517"/>
      <c r="Y114" s="517"/>
      <c r="Z114" s="517"/>
      <c r="AA114" s="517"/>
      <c r="AB114" s="517"/>
      <c r="AC114" s="517"/>
      <c r="AD114" s="517"/>
      <c r="AE114" s="517"/>
      <c r="AF114" s="517"/>
      <c r="AG114" s="517"/>
    </row>
    <row r="115" spans="2:33">
      <c r="B115" s="517"/>
      <c r="C115" s="517"/>
      <c r="D115" s="517"/>
      <c r="E115" s="517"/>
      <c r="F115" s="517"/>
      <c r="G115" s="517"/>
      <c r="H115" s="517"/>
      <c r="I115" s="517"/>
      <c r="J115" s="517"/>
      <c r="K115" s="517"/>
      <c r="L115" s="517"/>
      <c r="M115" s="517"/>
      <c r="N115" s="517"/>
      <c r="O115" s="517"/>
      <c r="P115" s="517"/>
      <c r="Q115" s="517"/>
      <c r="R115" s="517"/>
      <c r="S115" s="517"/>
      <c r="T115" s="517"/>
      <c r="U115" s="517"/>
      <c r="V115" s="517"/>
      <c r="W115" s="517"/>
      <c r="X115" s="517"/>
      <c r="Y115" s="517"/>
      <c r="Z115" s="517"/>
      <c r="AA115" s="517"/>
      <c r="AB115" s="517"/>
      <c r="AC115" s="517"/>
      <c r="AD115" s="517"/>
      <c r="AE115" s="517"/>
      <c r="AF115" s="517"/>
      <c r="AG115" s="517"/>
    </row>
    <row r="116" spans="2:33">
      <c r="B116" s="517"/>
      <c r="C116" s="517"/>
      <c r="D116" s="517"/>
      <c r="E116" s="517"/>
      <c r="F116" s="517"/>
      <c r="G116" s="517"/>
      <c r="H116" s="517"/>
      <c r="I116" s="517"/>
      <c r="J116" s="517"/>
      <c r="K116" s="517"/>
      <c r="L116" s="517"/>
      <c r="M116" s="517"/>
      <c r="N116" s="517"/>
      <c r="O116" s="517"/>
      <c r="P116" s="517"/>
      <c r="Q116" s="517"/>
      <c r="R116" s="517"/>
      <c r="S116" s="517"/>
      <c r="T116" s="517"/>
      <c r="U116" s="517"/>
      <c r="V116" s="517"/>
      <c r="W116" s="517"/>
      <c r="X116" s="517"/>
      <c r="Y116" s="517"/>
      <c r="Z116" s="517"/>
      <c r="AA116" s="517"/>
      <c r="AB116" s="517"/>
      <c r="AC116" s="517"/>
      <c r="AD116" s="517"/>
      <c r="AE116" s="517"/>
      <c r="AF116" s="517"/>
      <c r="AG116" s="517"/>
    </row>
    <row r="117" spans="2:33">
      <c r="B117" s="517"/>
      <c r="C117" s="517"/>
      <c r="D117" s="517"/>
      <c r="E117" s="517"/>
      <c r="F117" s="517"/>
      <c r="G117" s="517"/>
      <c r="H117" s="517"/>
      <c r="I117" s="517"/>
      <c r="J117" s="517"/>
      <c r="K117" s="517"/>
      <c r="L117" s="517"/>
      <c r="M117" s="517"/>
      <c r="N117" s="517"/>
      <c r="O117" s="517"/>
      <c r="P117" s="517"/>
      <c r="Q117" s="517"/>
      <c r="R117" s="517"/>
      <c r="S117" s="517"/>
      <c r="T117" s="517"/>
      <c r="U117" s="517"/>
      <c r="V117" s="517"/>
      <c r="W117" s="517"/>
      <c r="X117" s="517"/>
      <c r="Y117" s="517"/>
      <c r="Z117" s="517"/>
      <c r="AA117" s="517"/>
      <c r="AB117" s="517"/>
      <c r="AC117" s="517"/>
      <c r="AD117" s="517"/>
      <c r="AE117" s="517"/>
      <c r="AF117" s="517"/>
      <c r="AG117" s="517"/>
    </row>
    <row r="118" spans="2:33">
      <c r="B118" s="517"/>
      <c r="C118" s="517"/>
      <c r="D118" s="517"/>
      <c r="E118" s="517"/>
      <c r="F118" s="517"/>
      <c r="G118" s="517"/>
      <c r="H118" s="517"/>
      <c r="I118" s="517"/>
      <c r="J118" s="517"/>
      <c r="K118" s="517"/>
      <c r="L118" s="517"/>
      <c r="M118" s="517"/>
      <c r="N118" s="517"/>
      <c r="O118" s="517"/>
      <c r="P118" s="517"/>
      <c r="Q118" s="517"/>
      <c r="R118" s="517"/>
      <c r="S118" s="517"/>
      <c r="T118" s="517"/>
      <c r="U118" s="517"/>
      <c r="V118" s="517"/>
      <c r="W118" s="517"/>
      <c r="X118" s="517"/>
      <c r="Y118" s="517"/>
      <c r="Z118" s="517"/>
      <c r="AA118" s="517"/>
      <c r="AB118" s="517"/>
      <c r="AC118" s="517"/>
      <c r="AD118" s="517"/>
      <c r="AE118" s="517"/>
      <c r="AF118" s="517"/>
      <c r="AG118" s="517"/>
    </row>
    <row r="119" spans="2:33">
      <c r="B119" s="517"/>
      <c r="C119" s="517"/>
      <c r="D119" s="517"/>
      <c r="E119" s="517"/>
      <c r="F119" s="517"/>
      <c r="G119" s="517"/>
      <c r="H119" s="517"/>
      <c r="I119" s="517"/>
      <c r="J119" s="517"/>
      <c r="K119" s="517"/>
      <c r="L119" s="517"/>
      <c r="M119" s="517"/>
      <c r="N119" s="517"/>
      <c r="O119" s="517"/>
      <c r="P119" s="517"/>
      <c r="Q119" s="517"/>
      <c r="R119" s="517"/>
      <c r="S119" s="517"/>
      <c r="T119" s="517"/>
      <c r="U119" s="517"/>
      <c r="V119" s="517"/>
      <c r="W119" s="517"/>
      <c r="X119" s="517"/>
      <c r="Y119" s="517"/>
      <c r="Z119" s="517"/>
      <c r="AA119" s="517"/>
      <c r="AB119" s="517"/>
      <c r="AC119" s="517"/>
      <c r="AD119" s="517"/>
      <c r="AE119" s="517"/>
      <c r="AF119" s="517"/>
      <c r="AG119" s="517"/>
    </row>
    <row r="120" spans="2:33">
      <c r="B120" s="517"/>
      <c r="C120" s="517"/>
      <c r="D120" s="517"/>
      <c r="E120" s="517"/>
      <c r="F120" s="517"/>
      <c r="G120" s="517"/>
      <c r="H120" s="517"/>
      <c r="I120" s="517"/>
      <c r="J120" s="517"/>
      <c r="K120" s="517"/>
      <c r="L120" s="517"/>
      <c r="M120" s="517"/>
      <c r="N120" s="517"/>
      <c r="O120" s="517"/>
      <c r="P120" s="517"/>
      <c r="Q120" s="517"/>
      <c r="R120" s="517"/>
      <c r="S120" s="517"/>
      <c r="T120" s="517"/>
      <c r="U120" s="517"/>
      <c r="V120" s="517"/>
      <c r="W120" s="517"/>
      <c r="X120" s="517"/>
      <c r="Y120" s="517"/>
      <c r="Z120" s="517"/>
      <c r="AA120" s="517"/>
      <c r="AB120" s="517"/>
      <c r="AC120" s="517"/>
      <c r="AD120" s="517"/>
      <c r="AE120" s="517"/>
      <c r="AF120" s="517"/>
      <c r="AG120" s="517"/>
    </row>
    <row r="121" spans="2:33">
      <c r="B121" s="517"/>
      <c r="C121" s="517"/>
      <c r="D121" s="517"/>
      <c r="E121" s="517"/>
      <c r="F121" s="517"/>
      <c r="G121" s="517"/>
      <c r="H121" s="517"/>
      <c r="I121" s="517"/>
      <c r="J121" s="517"/>
      <c r="K121" s="517"/>
      <c r="L121" s="517"/>
      <c r="M121" s="517"/>
      <c r="N121" s="517"/>
      <c r="O121" s="517"/>
      <c r="P121" s="517"/>
      <c r="Q121" s="517"/>
      <c r="R121" s="517"/>
      <c r="S121" s="517"/>
      <c r="T121" s="517"/>
      <c r="U121" s="517"/>
      <c r="V121" s="517"/>
      <c r="W121" s="517"/>
      <c r="X121" s="517"/>
      <c r="Y121" s="517"/>
      <c r="Z121" s="517"/>
      <c r="AA121" s="517"/>
      <c r="AB121" s="517"/>
      <c r="AC121" s="517"/>
      <c r="AD121" s="517"/>
      <c r="AE121" s="517"/>
      <c r="AF121" s="517"/>
      <c r="AG121" s="517"/>
    </row>
    <row r="122" spans="2:33">
      <c r="B122" s="517"/>
      <c r="C122" s="517"/>
      <c r="D122" s="517"/>
      <c r="E122" s="517"/>
      <c r="F122" s="517"/>
      <c r="G122" s="517"/>
      <c r="H122" s="517"/>
      <c r="I122" s="517"/>
      <c r="J122" s="517"/>
      <c r="K122" s="517"/>
      <c r="L122" s="517"/>
      <c r="M122" s="517"/>
      <c r="N122" s="517"/>
      <c r="O122" s="517"/>
      <c r="P122" s="517"/>
      <c r="Q122" s="517"/>
      <c r="R122" s="517"/>
      <c r="S122" s="517"/>
      <c r="T122" s="517"/>
      <c r="U122" s="517"/>
      <c r="V122" s="517"/>
      <c r="W122" s="517"/>
      <c r="X122" s="517"/>
      <c r="Y122" s="517"/>
      <c r="Z122" s="517"/>
      <c r="AA122" s="517"/>
      <c r="AB122" s="517"/>
      <c r="AC122" s="517"/>
      <c r="AD122" s="517"/>
      <c r="AE122" s="517"/>
      <c r="AF122" s="517"/>
      <c r="AG122" s="517"/>
    </row>
    <row r="123" spans="2:33">
      <c r="B123" s="517"/>
      <c r="C123" s="517"/>
      <c r="D123" s="517"/>
      <c r="E123" s="517"/>
      <c r="F123" s="517"/>
      <c r="G123" s="517"/>
      <c r="H123" s="517"/>
      <c r="I123" s="517"/>
      <c r="J123" s="517"/>
      <c r="K123" s="517"/>
      <c r="L123" s="517"/>
      <c r="M123" s="517"/>
      <c r="N123" s="517"/>
      <c r="O123" s="517"/>
      <c r="P123" s="517"/>
      <c r="Q123" s="517"/>
      <c r="R123" s="517"/>
      <c r="S123" s="517"/>
      <c r="T123" s="517"/>
      <c r="U123" s="517"/>
      <c r="V123" s="517"/>
      <c r="W123" s="517"/>
      <c r="X123" s="517"/>
      <c r="Y123" s="517"/>
      <c r="Z123" s="517"/>
      <c r="AA123" s="517"/>
      <c r="AB123" s="517"/>
      <c r="AC123" s="517"/>
      <c r="AD123" s="517"/>
      <c r="AE123" s="517"/>
      <c r="AF123" s="517"/>
      <c r="AG123" s="517"/>
    </row>
    <row r="124" spans="2:33">
      <c r="B124" s="517"/>
      <c r="C124" s="517"/>
      <c r="D124" s="517"/>
      <c r="E124" s="517"/>
      <c r="F124" s="517"/>
      <c r="G124" s="517"/>
      <c r="H124" s="517"/>
      <c r="I124" s="517"/>
      <c r="J124" s="517"/>
      <c r="K124" s="517"/>
      <c r="L124" s="517"/>
      <c r="M124" s="517"/>
      <c r="N124" s="517"/>
      <c r="O124" s="517"/>
      <c r="P124" s="517"/>
      <c r="Q124" s="517"/>
      <c r="R124" s="517"/>
      <c r="S124" s="517"/>
      <c r="T124" s="517"/>
      <c r="U124" s="517"/>
      <c r="V124" s="517"/>
      <c r="W124" s="517"/>
      <c r="X124" s="517"/>
      <c r="Y124" s="517"/>
      <c r="Z124" s="517"/>
      <c r="AA124" s="517"/>
      <c r="AB124" s="517"/>
      <c r="AC124" s="517"/>
      <c r="AD124" s="517"/>
      <c r="AE124" s="517"/>
      <c r="AF124" s="517"/>
      <c r="AG124" s="517"/>
    </row>
    <row r="125" spans="2:33">
      <c r="B125" s="517"/>
      <c r="C125" s="517"/>
      <c r="D125" s="517"/>
      <c r="E125" s="517"/>
      <c r="F125" s="517"/>
      <c r="G125" s="517"/>
      <c r="H125" s="517"/>
      <c r="I125" s="517"/>
      <c r="J125" s="517"/>
      <c r="K125" s="517"/>
      <c r="L125" s="517"/>
      <c r="M125" s="517"/>
      <c r="N125" s="517"/>
      <c r="O125" s="517"/>
      <c r="P125" s="517"/>
      <c r="Q125" s="517"/>
      <c r="R125" s="517"/>
      <c r="S125" s="517"/>
      <c r="T125" s="517"/>
      <c r="U125" s="517"/>
      <c r="V125" s="517"/>
      <c r="W125" s="517"/>
      <c r="X125" s="517"/>
      <c r="Y125" s="517"/>
      <c r="Z125" s="517"/>
      <c r="AA125" s="517"/>
      <c r="AB125" s="517"/>
      <c r="AC125" s="517"/>
      <c r="AD125" s="517"/>
      <c r="AE125" s="517"/>
      <c r="AF125" s="517"/>
      <c r="AG125" s="517"/>
    </row>
    <row r="126" spans="2:33">
      <c r="B126" s="517"/>
      <c r="C126" s="517"/>
      <c r="D126" s="517"/>
      <c r="E126" s="517"/>
      <c r="F126" s="517"/>
      <c r="G126" s="517"/>
      <c r="H126" s="517"/>
      <c r="I126" s="517"/>
      <c r="J126" s="517"/>
      <c r="K126" s="517"/>
      <c r="L126" s="517"/>
      <c r="M126" s="517"/>
      <c r="N126" s="517"/>
      <c r="O126" s="517"/>
      <c r="P126" s="517"/>
      <c r="Q126" s="517"/>
      <c r="R126" s="517"/>
      <c r="S126" s="517"/>
      <c r="T126" s="517"/>
      <c r="U126" s="517"/>
      <c r="V126" s="517"/>
      <c r="W126" s="517"/>
      <c r="X126" s="517"/>
      <c r="Y126" s="517"/>
      <c r="Z126" s="517"/>
      <c r="AA126" s="517"/>
      <c r="AB126" s="517"/>
      <c r="AC126" s="517"/>
      <c r="AD126" s="517"/>
      <c r="AE126" s="517"/>
      <c r="AF126" s="517"/>
      <c r="AG126" s="517"/>
    </row>
    <row r="127" spans="2:33">
      <c r="B127" s="517"/>
      <c r="C127" s="517"/>
      <c r="D127" s="517"/>
      <c r="E127" s="517"/>
      <c r="F127" s="517"/>
      <c r="G127" s="517"/>
      <c r="H127" s="517"/>
      <c r="I127" s="517"/>
      <c r="J127" s="517"/>
      <c r="K127" s="517"/>
      <c r="L127" s="517"/>
      <c r="M127" s="517"/>
      <c r="N127" s="517"/>
      <c r="O127" s="517"/>
      <c r="P127" s="517"/>
      <c r="Q127" s="517"/>
      <c r="R127" s="517"/>
      <c r="S127" s="517"/>
      <c r="T127" s="517"/>
      <c r="U127" s="517"/>
      <c r="V127" s="517"/>
      <c r="W127" s="517"/>
      <c r="X127" s="517"/>
      <c r="Y127" s="517"/>
      <c r="Z127" s="517"/>
      <c r="AA127" s="517"/>
      <c r="AB127" s="517"/>
      <c r="AC127" s="517"/>
      <c r="AD127" s="517"/>
      <c r="AE127" s="517"/>
      <c r="AF127" s="517"/>
      <c r="AG127" s="517"/>
    </row>
    <row r="128" spans="2:33">
      <c r="B128" s="517"/>
      <c r="C128" s="517"/>
      <c r="D128" s="517"/>
      <c r="E128" s="517"/>
      <c r="F128" s="517"/>
      <c r="G128" s="517"/>
      <c r="H128" s="517"/>
      <c r="I128" s="517"/>
      <c r="J128" s="517"/>
      <c r="K128" s="517"/>
      <c r="L128" s="517"/>
      <c r="M128" s="517"/>
      <c r="N128" s="517"/>
      <c r="O128" s="517"/>
      <c r="P128" s="517"/>
      <c r="Q128" s="517"/>
      <c r="R128" s="517"/>
      <c r="S128" s="517"/>
      <c r="T128" s="517"/>
      <c r="U128" s="517"/>
      <c r="V128" s="517"/>
      <c r="W128" s="517"/>
      <c r="X128" s="517"/>
      <c r="Y128" s="517"/>
      <c r="Z128" s="517"/>
      <c r="AA128" s="517"/>
      <c r="AB128" s="517"/>
      <c r="AC128" s="517"/>
      <c r="AD128" s="517"/>
      <c r="AE128" s="517"/>
      <c r="AF128" s="517"/>
      <c r="AG128" s="517"/>
    </row>
    <row r="129" spans="2:33">
      <c r="B129" s="517"/>
      <c r="C129" s="517"/>
      <c r="D129" s="517"/>
      <c r="E129" s="517"/>
      <c r="F129" s="517"/>
      <c r="G129" s="517"/>
      <c r="H129" s="517"/>
      <c r="I129" s="517"/>
      <c r="J129" s="517"/>
      <c r="K129" s="517"/>
      <c r="L129" s="517"/>
      <c r="M129" s="517"/>
      <c r="N129" s="517"/>
      <c r="O129" s="517"/>
      <c r="P129" s="517"/>
      <c r="Q129" s="517"/>
      <c r="R129" s="517"/>
      <c r="S129" s="517"/>
      <c r="T129" s="517"/>
      <c r="U129" s="517"/>
      <c r="V129" s="517"/>
      <c r="W129" s="517"/>
      <c r="X129" s="517"/>
      <c r="Y129" s="517"/>
      <c r="Z129" s="517"/>
      <c r="AA129" s="517"/>
      <c r="AB129" s="517"/>
      <c r="AC129" s="517"/>
      <c r="AD129" s="517"/>
      <c r="AE129" s="517"/>
      <c r="AF129" s="517"/>
      <c r="AG129" s="517"/>
    </row>
    <row r="130" spans="2:33">
      <c r="B130" s="517"/>
      <c r="C130" s="517"/>
      <c r="D130" s="517"/>
      <c r="E130" s="517"/>
      <c r="F130" s="517"/>
      <c r="G130" s="517"/>
      <c r="H130" s="517"/>
      <c r="I130" s="517"/>
      <c r="J130" s="517"/>
      <c r="K130" s="517"/>
      <c r="L130" s="517"/>
      <c r="M130" s="517"/>
      <c r="N130" s="517"/>
      <c r="O130" s="517"/>
      <c r="P130" s="517"/>
      <c r="Q130" s="517"/>
      <c r="R130" s="517"/>
      <c r="S130" s="517"/>
      <c r="T130" s="517"/>
      <c r="U130" s="517"/>
      <c r="V130" s="517"/>
      <c r="W130" s="517"/>
      <c r="X130" s="517"/>
      <c r="Y130" s="517"/>
      <c r="Z130" s="517"/>
      <c r="AA130" s="517"/>
      <c r="AB130" s="517"/>
      <c r="AC130" s="517"/>
      <c r="AD130" s="517"/>
      <c r="AE130" s="517"/>
      <c r="AF130" s="517"/>
      <c r="AG130" s="517"/>
    </row>
    <row r="131" spans="2:33">
      <c r="B131" s="517"/>
      <c r="C131" s="517"/>
      <c r="D131" s="517"/>
      <c r="E131" s="517"/>
      <c r="F131" s="517"/>
      <c r="G131" s="517"/>
      <c r="H131" s="517"/>
      <c r="I131" s="517"/>
      <c r="J131" s="517"/>
      <c r="K131" s="517"/>
      <c r="L131" s="517"/>
      <c r="M131" s="517"/>
      <c r="N131" s="517"/>
      <c r="O131" s="517"/>
      <c r="P131" s="517"/>
      <c r="Q131" s="517"/>
      <c r="R131" s="517"/>
      <c r="S131" s="517"/>
      <c r="T131" s="517"/>
      <c r="U131" s="517"/>
      <c r="V131" s="517"/>
      <c r="W131" s="517"/>
      <c r="X131" s="517"/>
      <c r="Y131" s="517"/>
      <c r="Z131" s="517"/>
      <c r="AA131" s="517"/>
      <c r="AB131" s="517"/>
      <c r="AC131" s="517"/>
      <c r="AD131" s="517"/>
      <c r="AE131" s="517"/>
      <c r="AF131" s="517"/>
      <c r="AG131" s="517"/>
    </row>
    <row r="132" spans="2:33">
      <c r="B132" s="517"/>
      <c r="C132" s="517"/>
      <c r="D132" s="517"/>
      <c r="E132" s="517"/>
      <c r="F132" s="517"/>
      <c r="G132" s="517"/>
      <c r="H132" s="517"/>
      <c r="I132" s="517"/>
      <c r="J132" s="517"/>
      <c r="K132" s="517"/>
      <c r="L132" s="517"/>
      <c r="M132" s="517"/>
      <c r="N132" s="517"/>
      <c r="O132" s="517"/>
      <c r="P132" s="517"/>
      <c r="Q132" s="517"/>
      <c r="R132" s="517"/>
      <c r="S132" s="517"/>
      <c r="T132" s="517"/>
      <c r="U132" s="517"/>
      <c r="V132" s="517"/>
      <c r="W132" s="517"/>
      <c r="X132" s="517"/>
      <c r="Y132" s="517"/>
      <c r="Z132" s="517"/>
      <c r="AA132" s="517"/>
      <c r="AB132" s="517"/>
      <c r="AC132" s="517"/>
      <c r="AD132" s="517"/>
      <c r="AE132" s="517"/>
      <c r="AF132" s="517"/>
      <c r="AG132" s="517"/>
    </row>
    <row r="133" spans="2:33">
      <c r="B133" s="517"/>
      <c r="C133" s="517"/>
      <c r="D133" s="517"/>
      <c r="E133" s="517"/>
      <c r="F133" s="517"/>
      <c r="G133" s="517"/>
      <c r="H133" s="517"/>
      <c r="I133" s="517"/>
      <c r="J133" s="517"/>
      <c r="K133" s="517"/>
      <c r="L133" s="517"/>
      <c r="M133" s="517"/>
      <c r="N133" s="517"/>
      <c r="O133" s="517"/>
      <c r="P133" s="517"/>
      <c r="Q133" s="517"/>
      <c r="R133" s="517"/>
      <c r="S133" s="517"/>
      <c r="T133" s="517"/>
      <c r="U133" s="517"/>
      <c r="V133" s="517"/>
      <c r="W133" s="517"/>
      <c r="X133" s="517"/>
      <c r="Y133" s="517"/>
      <c r="Z133" s="517"/>
      <c r="AA133" s="517"/>
      <c r="AB133" s="517"/>
      <c r="AC133" s="517"/>
      <c r="AD133" s="517"/>
      <c r="AE133" s="517"/>
      <c r="AF133" s="517"/>
      <c r="AG133" s="517"/>
    </row>
    <row r="134" spans="2:33">
      <c r="B134" s="517"/>
      <c r="C134" s="517"/>
      <c r="D134" s="517"/>
      <c r="E134" s="517"/>
      <c r="F134" s="517"/>
      <c r="G134" s="517"/>
      <c r="H134" s="517"/>
      <c r="I134" s="517"/>
      <c r="J134" s="517"/>
      <c r="K134" s="517"/>
      <c r="L134" s="517"/>
      <c r="M134" s="517"/>
      <c r="N134" s="517"/>
      <c r="O134" s="517"/>
      <c r="P134" s="517"/>
      <c r="Q134" s="517"/>
      <c r="R134" s="517"/>
      <c r="S134" s="517"/>
      <c r="T134" s="517"/>
      <c r="U134" s="517"/>
      <c r="V134" s="517"/>
      <c r="W134" s="517"/>
      <c r="X134" s="517"/>
      <c r="Y134" s="517"/>
      <c r="Z134" s="517"/>
      <c r="AA134" s="517"/>
      <c r="AB134" s="517"/>
      <c r="AC134" s="517"/>
      <c r="AD134" s="517"/>
      <c r="AE134" s="517"/>
      <c r="AF134" s="517"/>
      <c r="AG134" s="517"/>
    </row>
    <row r="135" spans="2:33">
      <c r="B135" s="517"/>
      <c r="C135" s="517"/>
      <c r="D135" s="517"/>
      <c r="E135" s="517"/>
      <c r="F135" s="517"/>
      <c r="G135" s="517"/>
      <c r="H135" s="517"/>
      <c r="I135" s="517"/>
      <c r="J135" s="517"/>
      <c r="K135" s="517"/>
      <c r="L135" s="517"/>
      <c r="M135" s="517"/>
      <c r="N135" s="517"/>
      <c r="O135" s="517"/>
      <c r="P135" s="517"/>
      <c r="Q135" s="517"/>
      <c r="R135" s="517"/>
      <c r="S135" s="517"/>
      <c r="T135" s="517"/>
      <c r="U135" s="517"/>
      <c r="V135" s="517"/>
      <c r="W135" s="517"/>
      <c r="X135" s="517"/>
      <c r="Y135" s="517"/>
      <c r="Z135" s="517"/>
      <c r="AA135" s="517"/>
      <c r="AB135" s="517"/>
      <c r="AC135" s="517"/>
      <c r="AD135" s="517"/>
      <c r="AE135" s="517"/>
      <c r="AF135" s="517"/>
      <c r="AG135" s="517"/>
    </row>
    <row r="136" spans="2:33">
      <c r="B136" s="517"/>
      <c r="C136" s="517"/>
      <c r="D136" s="517"/>
      <c r="E136" s="517"/>
      <c r="F136" s="517"/>
      <c r="G136" s="517"/>
      <c r="H136" s="517"/>
      <c r="I136" s="517"/>
      <c r="J136" s="517"/>
      <c r="K136" s="517"/>
      <c r="L136" s="517"/>
      <c r="M136" s="517"/>
      <c r="N136" s="517"/>
      <c r="O136" s="517"/>
      <c r="P136" s="517"/>
      <c r="Q136" s="517"/>
      <c r="R136" s="517"/>
      <c r="S136" s="517"/>
      <c r="T136" s="517"/>
      <c r="U136" s="517"/>
      <c r="V136" s="517"/>
      <c r="W136" s="517"/>
      <c r="X136" s="517"/>
      <c r="Y136" s="517"/>
      <c r="Z136" s="517"/>
      <c r="AA136" s="517"/>
      <c r="AB136" s="517"/>
      <c r="AC136" s="517"/>
      <c r="AD136" s="517"/>
      <c r="AE136" s="517"/>
      <c r="AF136" s="517"/>
      <c r="AG136" s="517"/>
    </row>
    <row r="137" spans="2:33">
      <c r="B137" s="517"/>
      <c r="C137" s="517"/>
      <c r="D137" s="517"/>
      <c r="E137" s="517"/>
      <c r="F137" s="517"/>
      <c r="G137" s="517"/>
      <c r="H137" s="517"/>
      <c r="I137" s="517"/>
      <c r="J137" s="517"/>
      <c r="K137" s="517"/>
      <c r="L137" s="517"/>
      <c r="M137" s="517"/>
      <c r="N137" s="517"/>
      <c r="O137" s="517"/>
      <c r="P137" s="517"/>
      <c r="Q137" s="517"/>
      <c r="R137" s="517"/>
      <c r="S137" s="517"/>
      <c r="T137" s="517"/>
      <c r="U137" s="517"/>
      <c r="V137" s="517"/>
      <c r="W137" s="517"/>
      <c r="X137" s="517"/>
      <c r="Y137" s="517"/>
      <c r="Z137" s="517"/>
      <c r="AA137" s="517"/>
      <c r="AB137" s="517"/>
      <c r="AC137" s="517"/>
      <c r="AD137" s="517"/>
      <c r="AE137" s="517"/>
      <c r="AF137" s="517"/>
      <c r="AG137" s="517"/>
    </row>
    <row r="138" spans="2:33">
      <c r="B138" s="517"/>
      <c r="C138" s="517"/>
      <c r="D138" s="517"/>
      <c r="E138" s="517"/>
      <c r="F138" s="517"/>
      <c r="G138" s="517"/>
      <c r="H138" s="517"/>
      <c r="I138" s="517"/>
      <c r="J138" s="517"/>
      <c r="K138" s="517"/>
      <c r="L138" s="517"/>
      <c r="M138" s="517"/>
      <c r="N138" s="517"/>
      <c r="O138" s="517"/>
      <c r="P138" s="517"/>
      <c r="Q138" s="517"/>
      <c r="R138" s="517"/>
      <c r="S138" s="517"/>
      <c r="T138" s="517"/>
      <c r="U138" s="517"/>
      <c r="V138" s="517"/>
      <c r="W138" s="517"/>
      <c r="X138" s="517"/>
      <c r="Y138" s="517"/>
      <c r="Z138" s="517"/>
      <c r="AA138" s="517"/>
      <c r="AB138" s="517"/>
      <c r="AC138" s="517"/>
      <c r="AD138" s="517"/>
      <c r="AE138" s="517"/>
      <c r="AF138" s="517"/>
      <c r="AG138" s="517"/>
    </row>
    <row r="139" spans="2:33">
      <c r="B139" s="517"/>
      <c r="C139" s="517"/>
      <c r="D139" s="517"/>
      <c r="E139" s="517"/>
      <c r="F139" s="517"/>
      <c r="G139" s="517"/>
      <c r="H139" s="517"/>
      <c r="I139" s="517"/>
      <c r="J139" s="517"/>
      <c r="K139" s="517"/>
      <c r="L139" s="517"/>
      <c r="M139" s="517"/>
      <c r="N139" s="517"/>
      <c r="O139" s="517"/>
      <c r="P139" s="517"/>
      <c r="Q139" s="517"/>
      <c r="R139" s="517"/>
      <c r="S139" s="517"/>
      <c r="T139" s="517"/>
      <c r="U139" s="517"/>
      <c r="V139" s="517"/>
      <c r="W139" s="517"/>
      <c r="X139" s="517"/>
      <c r="Y139" s="517"/>
      <c r="Z139" s="517"/>
      <c r="AA139" s="517"/>
      <c r="AB139" s="517"/>
      <c r="AC139" s="517"/>
      <c r="AD139" s="517"/>
      <c r="AE139" s="517"/>
      <c r="AF139" s="517"/>
      <c r="AG139" s="517"/>
    </row>
    <row r="140" spans="2:33">
      <c r="B140" s="517"/>
      <c r="C140" s="517"/>
      <c r="D140" s="517"/>
      <c r="E140" s="517"/>
      <c r="F140" s="517"/>
      <c r="G140" s="517"/>
      <c r="H140" s="517"/>
      <c r="I140" s="517"/>
      <c r="J140" s="517"/>
      <c r="K140" s="517"/>
      <c r="L140" s="517"/>
      <c r="M140" s="517"/>
      <c r="N140" s="517"/>
      <c r="O140" s="517"/>
      <c r="P140" s="517"/>
      <c r="Q140" s="517"/>
      <c r="R140" s="517"/>
      <c r="S140" s="517"/>
      <c r="T140" s="517"/>
      <c r="U140" s="517"/>
      <c r="V140" s="517"/>
      <c r="W140" s="517"/>
      <c r="X140" s="517"/>
      <c r="Y140" s="517"/>
      <c r="Z140" s="517"/>
      <c r="AA140" s="517"/>
      <c r="AB140" s="517"/>
      <c r="AC140" s="517"/>
      <c r="AD140" s="517"/>
      <c r="AE140" s="517"/>
      <c r="AF140" s="517"/>
      <c r="AG140" s="517"/>
    </row>
    <row r="141" spans="2:33">
      <c r="B141" s="517"/>
      <c r="C141" s="517"/>
      <c r="D141" s="517"/>
      <c r="E141" s="517"/>
      <c r="F141" s="517"/>
      <c r="G141" s="517"/>
      <c r="H141" s="517"/>
      <c r="I141" s="517"/>
      <c r="J141" s="517"/>
      <c r="K141" s="517"/>
      <c r="L141" s="517"/>
      <c r="M141" s="517"/>
      <c r="N141" s="517"/>
      <c r="O141" s="517"/>
      <c r="P141" s="517"/>
      <c r="Q141" s="517"/>
      <c r="R141" s="517"/>
      <c r="S141" s="517"/>
      <c r="T141" s="517"/>
      <c r="U141" s="517"/>
      <c r="V141" s="517"/>
      <c r="W141" s="517"/>
      <c r="X141" s="517"/>
      <c r="Y141" s="517"/>
      <c r="Z141" s="517"/>
      <c r="AA141" s="517"/>
      <c r="AB141" s="517"/>
      <c r="AC141" s="517"/>
      <c r="AD141" s="517"/>
      <c r="AE141" s="517"/>
      <c r="AF141" s="517"/>
      <c r="AG141" s="517"/>
    </row>
    <row r="142" spans="2:33">
      <c r="B142" s="517"/>
      <c r="C142" s="517"/>
      <c r="D142" s="517"/>
      <c r="E142" s="517"/>
      <c r="F142" s="517"/>
      <c r="G142" s="517"/>
      <c r="H142" s="517"/>
      <c r="I142" s="517"/>
      <c r="J142" s="517"/>
      <c r="K142" s="517"/>
      <c r="L142" s="517"/>
      <c r="M142" s="517"/>
      <c r="N142" s="517"/>
      <c r="O142" s="517"/>
      <c r="P142" s="517"/>
      <c r="Q142" s="517"/>
      <c r="R142" s="517"/>
      <c r="S142" s="517"/>
      <c r="T142" s="517"/>
      <c r="U142" s="517"/>
      <c r="V142" s="517"/>
      <c r="W142" s="517"/>
      <c r="X142" s="517"/>
      <c r="Y142" s="517"/>
      <c r="Z142" s="517"/>
      <c r="AA142" s="517"/>
      <c r="AB142" s="517"/>
      <c r="AC142" s="517"/>
      <c r="AD142" s="517"/>
      <c r="AE142" s="517"/>
      <c r="AF142" s="517"/>
      <c r="AG142" s="517"/>
    </row>
    <row r="143" spans="2:33">
      <c r="B143" s="517"/>
      <c r="C143" s="517"/>
      <c r="D143" s="517"/>
      <c r="E143" s="517"/>
      <c r="F143" s="517"/>
      <c r="G143" s="517"/>
      <c r="H143" s="517"/>
      <c r="I143" s="517"/>
      <c r="J143" s="517"/>
      <c r="K143" s="517"/>
      <c r="L143" s="517"/>
      <c r="M143" s="517"/>
      <c r="N143" s="517"/>
      <c r="O143" s="517"/>
      <c r="P143" s="517"/>
      <c r="Q143" s="517"/>
      <c r="R143" s="517"/>
      <c r="S143" s="517"/>
      <c r="T143" s="517"/>
      <c r="U143" s="517"/>
      <c r="V143" s="517"/>
      <c r="W143" s="517"/>
      <c r="X143" s="517"/>
      <c r="Y143" s="517"/>
      <c r="Z143" s="517"/>
      <c r="AA143" s="517"/>
      <c r="AB143" s="517"/>
      <c r="AC143" s="517"/>
      <c r="AD143" s="517"/>
      <c r="AE143" s="517"/>
      <c r="AF143" s="517"/>
      <c r="AG143" s="517"/>
    </row>
    <row r="144" spans="2:33">
      <c r="B144" s="517"/>
      <c r="C144" s="517"/>
      <c r="D144" s="517"/>
      <c r="E144" s="517"/>
      <c r="F144" s="517"/>
      <c r="G144" s="517"/>
      <c r="H144" s="517"/>
      <c r="I144" s="517"/>
      <c r="J144" s="517"/>
      <c r="K144" s="517"/>
      <c r="L144" s="517"/>
      <c r="M144" s="517"/>
      <c r="N144" s="517"/>
      <c r="O144" s="517"/>
      <c r="P144" s="517"/>
      <c r="Q144" s="517"/>
      <c r="R144" s="517"/>
      <c r="S144" s="517"/>
      <c r="T144" s="517"/>
      <c r="U144" s="517"/>
      <c r="V144" s="517"/>
      <c r="W144" s="517"/>
      <c r="X144" s="517"/>
      <c r="Y144" s="517"/>
      <c r="Z144" s="517"/>
      <c r="AA144" s="517"/>
      <c r="AB144" s="517"/>
      <c r="AC144" s="517"/>
      <c r="AD144" s="517"/>
      <c r="AE144" s="517"/>
      <c r="AF144" s="517"/>
      <c r="AG144" s="517"/>
    </row>
    <row r="145" spans="2:33">
      <c r="B145" s="517"/>
      <c r="C145" s="517"/>
      <c r="D145" s="517"/>
      <c r="E145" s="517"/>
      <c r="F145" s="517"/>
      <c r="G145" s="517"/>
      <c r="H145" s="517"/>
      <c r="I145" s="517"/>
      <c r="J145" s="517"/>
      <c r="K145" s="517"/>
      <c r="L145" s="517"/>
      <c r="M145" s="517"/>
      <c r="N145" s="517"/>
      <c r="O145" s="517"/>
      <c r="P145" s="517"/>
      <c r="Q145" s="517"/>
      <c r="R145" s="517"/>
      <c r="S145" s="517"/>
      <c r="T145" s="517"/>
      <c r="U145" s="517"/>
      <c r="V145" s="517"/>
      <c r="W145" s="517"/>
      <c r="X145" s="517"/>
      <c r="Y145" s="517"/>
      <c r="Z145" s="517"/>
      <c r="AA145" s="517"/>
      <c r="AB145" s="517"/>
      <c r="AC145" s="517"/>
      <c r="AD145" s="517"/>
      <c r="AE145" s="517"/>
      <c r="AF145" s="517"/>
      <c r="AG145" s="517"/>
    </row>
    <row r="146" spans="2:33">
      <c r="B146" s="517"/>
      <c r="C146" s="517"/>
      <c r="D146" s="517"/>
      <c r="E146" s="517"/>
      <c r="F146" s="517"/>
      <c r="G146" s="517"/>
      <c r="H146" s="517"/>
      <c r="I146" s="517"/>
      <c r="J146" s="517"/>
      <c r="K146" s="517"/>
      <c r="L146" s="517"/>
      <c r="M146" s="517"/>
      <c r="N146" s="517"/>
      <c r="O146" s="517"/>
      <c r="P146" s="517"/>
      <c r="Q146" s="517"/>
      <c r="R146" s="517"/>
      <c r="S146" s="517"/>
      <c r="T146" s="517"/>
      <c r="U146" s="517"/>
      <c r="V146" s="517"/>
      <c r="W146" s="517"/>
      <c r="X146" s="517"/>
      <c r="Y146" s="517"/>
      <c r="Z146" s="517"/>
      <c r="AA146" s="517"/>
      <c r="AB146" s="517"/>
      <c r="AC146" s="517"/>
      <c r="AD146" s="517"/>
      <c r="AE146" s="517"/>
      <c r="AF146" s="517"/>
      <c r="AG146" s="517"/>
    </row>
    <row r="147" spans="2:33">
      <c r="B147" s="517"/>
      <c r="C147" s="517"/>
      <c r="D147" s="517"/>
      <c r="E147" s="517"/>
      <c r="F147" s="517"/>
      <c r="G147" s="517"/>
      <c r="H147" s="517"/>
      <c r="I147" s="517"/>
      <c r="J147" s="517"/>
      <c r="K147" s="517"/>
      <c r="L147" s="517"/>
      <c r="M147" s="517"/>
      <c r="N147" s="517"/>
      <c r="O147" s="517"/>
      <c r="P147" s="517"/>
      <c r="Q147" s="517"/>
      <c r="R147" s="517"/>
      <c r="S147" s="517"/>
      <c r="T147" s="517"/>
      <c r="U147" s="517"/>
      <c r="V147" s="517"/>
      <c r="W147" s="517"/>
      <c r="X147" s="517"/>
      <c r="Y147" s="517"/>
      <c r="Z147" s="517"/>
      <c r="AA147" s="517"/>
      <c r="AB147" s="517"/>
      <c r="AC147" s="517"/>
      <c r="AD147" s="517"/>
      <c r="AE147" s="517"/>
      <c r="AF147" s="517"/>
      <c r="AG147" s="517"/>
    </row>
    <row r="148" spans="2:33">
      <c r="B148" s="517"/>
      <c r="C148" s="517"/>
      <c r="D148" s="517"/>
      <c r="E148" s="517"/>
      <c r="F148" s="517"/>
      <c r="G148" s="517"/>
      <c r="H148" s="517"/>
      <c r="I148" s="517"/>
      <c r="J148" s="517"/>
      <c r="K148" s="517"/>
      <c r="L148" s="517"/>
      <c r="M148" s="517"/>
      <c r="N148" s="517"/>
      <c r="O148" s="517"/>
      <c r="P148" s="517"/>
      <c r="Q148" s="517"/>
      <c r="R148" s="517"/>
      <c r="S148" s="517"/>
      <c r="T148" s="517"/>
      <c r="U148" s="517"/>
      <c r="V148" s="517"/>
      <c r="W148" s="517"/>
      <c r="X148" s="517"/>
      <c r="Y148" s="517"/>
      <c r="Z148" s="517"/>
      <c r="AA148" s="517"/>
      <c r="AB148" s="517"/>
      <c r="AC148" s="517"/>
      <c r="AD148" s="517"/>
      <c r="AE148" s="517"/>
      <c r="AF148" s="517"/>
      <c r="AG148" s="517"/>
    </row>
    <row r="149" spans="2:33">
      <c r="B149" s="517"/>
      <c r="C149" s="517"/>
      <c r="D149" s="517"/>
      <c r="E149" s="517"/>
      <c r="F149" s="517"/>
      <c r="G149" s="517"/>
      <c r="H149" s="517"/>
      <c r="I149" s="517"/>
      <c r="J149" s="517"/>
      <c r="K149" s="517"/>
      <c r="L149" s="517"/>
      <c r="M149" s="517"/>
      <c r="N149" s="517"/>
      <c r="O149" s="517"/>
      <c r="P149" s="517"/>
      <c r="Q149" s="517"/>
      <c r="R149" s="517"/>
      <c r="S149" s="517"/>
      <c r="T149" s="517"/>
      <c r="U149" s="517"/>
      <c r="V149" s="517"/>
      <c r="W149" s="517"/>
      <c r="X149" s="517"/>
      <c r="Y149" s="517"/>
      <c r="Z149" s="517"/>
      <c r="AA149" s="517"/>
      <c r="AB149" s="517"/>
      <c r="AC149" s="517"/>
      <c r="AD149" s="517"/>
      <c r="AE149" s="517"/>
      <c r="AF149" s="517"/>
      <c r="AG149" s="517"/>
    </row>
    <row r="150" spans="2:33">
      <c r="B150" s="517"/>
      <c r="C150" s="517"/>
      <c r="D150" s="517"/>
      <c r="E150" s="517"/>
      <c r="F150" s="517"/>
      <c r="G150" s="517"/>
      <c r="H150" s="517"/>
      <c r="I150" s="517"/>
      <c r="J150" s="517"/>
      <c r="K150" s="517"/>
      <c r="L150" s="517"/>
      <c r="M150" s="517"/>
      <c r="N150" s="517"/>
      <c r="O150" s="517"/>
      <c r="P150" s="517"/>
      <c r="Q150" s="517"/>
      <c r="R150" s="517"/>
      <c r="S150" s="517"/>
      <c r="T150" s="517"/>
      <c r="U150" s="517"/>
      <c r="V150" s="517"/>
      <c r="W150" s="517"/>
      <c r="X150" s="517"/>
      <c r="Y150" s="517"/>
      <c r="Z150" s="517"/>
      <c r="AA150" s="517"/>
      <c r="AB150" s="517"/>
      <c r="AC150" s="517"/>
      <c r="AD150" s="517"/>
      <c r="AE150" s="517"/>
      <c r="AF150" s="517"/>
      <c r="AG150" s="517"/>
    </row>
    <row r="151" spans="2:33">
      <c r="B151" s="517"/>
      <c r="C151" s="517"/>
      <c r="D151" s="517"/>
      <c r="E151" s="517"/>
      <c r="F151" s="517"/>
      <c r="G151" s="517"/>
      <c r="H151" s="517"/>
      <c r="I151" s="517"/>
      <c r="J151" s="517"/>
      <c r="K151" s="517"/>
      <c r="L151" s="517"/>
      <c r="M151" s="517"/>
      <c r="N151" s="517"/>
      <c r="O151" s="517"/>
      <c r="P151" s="517"/>
      <c r="Q151" s="517"/>
      <c r="R151" s="517"/>
      <c r="S151" s="517"/>
      <c r="T151" s="517"/>
      <c r="U151" s="517"/>
      <c r="V151" s="517"/>
      <c r="W151" s="517"/>
      <c r="X151" s="517"/>
      <c r="Y151" s="517"/>
      <c r="Z151" s="517"/>
      <c r="AA151" s="517"/>
      <c r="AB151" s="517"/>
      <c r="AC151" s="517"/>
      <c r="AD151" s="517"/>
      <c r="AE151" s="517"/>
      <c r="AF151" s="517"/>
      <c r="AG151" s="517"/>
    </row>
    <row r="152" spans="2:33">
      <c r="B152" s="517"/>
      <c r="C152" s="517"/>
      <c r="D152" s="517"/>
      <c r="E152" s="517"/>
      <c r="F152" s="517"/>
      <c r="G152" s="517"/>
      <c r="H152" s="517"/>
      <c r="I152" s="517"/>
      <c r="J152" s="517"/>
      <c r="K152" s="517"/>
      <c r="L152" s="517"/>
      <c r="M152" s="517"/>
      <c r="N152" s="517"/>
      <c r="O152" s="517"/>
      <c r="P152" s="517"/>
      <c r="Q152" s="517"/>
      <c r="R152" s="517"/>
      <c r="S152" s="517"/>
      <c r="T152" s="517"/>
      <c r="U152" s="517"/>
      <c r="V152" s="517"/>
      <c r="W152" s="517"/>
      <c r="X152" s="517"/>
      <c r="Y152" s="517"/>
      <c r="Z152" s="517"/>
      <c r="AA152" s="517"/>
      <c r="AB152" s="517"/>
      <c r="AC152" s="517"/>
      <c r="AD152" s="517"/>
      <c r="AE152" s="517"/>
      <c r="AF152" s="517"/>
      <c r="AG152" s="517"/>
    </row>
    <row r="153" spans="2:33">
      <c r="B153" s="517"/>
      <c r="C153" s="517"/>
      <c r="D153" s="517"/>
      <c r="E153" s="517"/>
      <c r="F153" s="517"/>
      <c r="G153" s="517"/>
      <c r="H153" s="517"/>
      <c r="I153" s="517"/>
      <c r="J153" s="517"/>
      <c r="K153" s="517"/>
      <c r="L153" s="517"/>
      <c r="M153" s="517"/>
      <c r="N153" s="517"/>
      <c r="O153" s="517"/>
      <c r="P153" s="517"/>
      <c r="Q153" s="517"/>
      <c r="R153" s="517"/>
      <c r="S153" s="517"/>
      <c r="T153" s="517"/>
      <c r="U153" s="517"/>
      <c r="V153" s="517"/>
      <c r="W153" s="517"/>
      <c r="X153" s="517"/>
      <c r="Y153" s="517"/>
      <c r="Z153" s="517"/>
      <c r="AA153" s="517"/>
      <c r="AB153" s="517"/>
      <c r="AC153" s="517"/>
      <c r="AD153" s="517"/>
      <c r="AE153" s="517"/>
      <c r="AF153" s="517"/>
      <c r="AG153" s="517"/>
    </row>
    <row r="154" spans="2:33">
      <c r="B154" s="517"/>
      <c r="C154" s="517"/>
      <c r="D154" s="517"/>
      <c r="E154" s="517"/>
      <c r="F154" s="517"/>
      <c r="G154" s="517"/>
      <c r="H154" s="517"/>
      <c r="I154" s="517"/>
      <c r="J154" s="517"/>
      <c r="K154" s="517"/>
      <c r="L154" s="517"/>
      <c r="M154" s="517"/>
      <c r="N154" s="517"/>
      <c r="O154" s="517"/>
      <c r="P154" s="517"/>
      <c r="Q154" s="517"/>
      <c r="R154" s="517"/>
      <c r="S154" s="517"/>
      <c r="T154" s="517"/>
      <c r="U154" s="517"/>
      <c r="V154" s="517"/>
      <c r="W154" s="517"/>
      <c r="X154" s="517"/>
      <c r="Y154" s="517"/>
      <c r="Z154" s="517"/>
      <c r="AA154" s="517"/>
      <c r="AB154" s="517"/>
      <c r="AC154" s="517"/>
      <c r="AD154" s="517"/>
      <c r="AE154" s="517"/>
      <c r="AF154" s="517"/>
      <c r="AG154" s="517"/>
    </row>
    <row r="155" spans="2:33">
      <c r="B155" s="517"/>
      <c r="C155" s="517"/>
      <c r="D155" s="517"/>
      <c r="E155" s="517"/>
      <c r="F155" s="517"/>
      <c r="G155" s="517"/>
      <c r="H155" s="517"/>
      <c r="I155" s="517"/>
      <c r="J155" s="517"/>
      <c r="K155" s="517"/>
      <c r="L155" s="517"/>
      <c r="M155" s="517"/>
      <c r="N155" s="517"/>
      <c r="O155" s="517"/>
      <c r="P155" s="517"/>
      <c r="Q155" s="517"/>
      <c r="R155" s="517"/>
      <c r="S155" s="517"/>
      <c r="T155" s="517"/>
      <c r="U155" s="517"/>
      <c r="V155" s="517"/>
      <c r="W155" s="517"/>
      <c r="X155" s="517"/>
      <c r="Y155" s="517"/>
      <c r="Z155" s="517"/>
      <c r="AA155" s="517"/>
      <c r="AB155" s="517"/>
      <c r="AC155" s="517"/>
      <c r="AD155" s="517"/>
      <c r="AE155" s="517"/>
      <c r="AF155" s="517"/>
      <c r="AG155" s="517"/>
    </row>
    <row r="156" spans="2:33">
      <c r="B156" s="517"/>
      <c r="C156" s="517"/>
      <c r="D156" s="517"/>
      <c r="E156" s="517"/>
      <c r="F156" s="517"/>
      <c r="G156" s="517"/>
      <c r="H156" s="517"/>
      <c r="I156" s="517"/>
      <c r="J156" s="517"/>
      <c r="K156" s="517"/>
      <c r="L156" s="517"/>
      <c r="M156" s="517"/>
      <c r="N156" s="517"/>
      <c r="O156" s="517"/>
      <c r="P156" s="517"/>
      <c r="Q156" s="517"/>
      <c r="R156" s="517"/>
      <c r="S156" s="517"/>
      <c r="T156" s="517"/>
      <c r="U156" s="517"/>
      <c r="V156" s="517"/>
      <c r="W156" s="517"/>
      <c r="X156" s="517"/>
      <c r="Y156" s="517"/>
      <c r="Z156" s="517"/>
      <c r="AA156" s="517"/>
      <c r="AB156" s="517"/>
      <c r="AC156" s="517"/>
      <c r="AD156" s="517"/>
      <c r="AE156" s="517"/>
      <c r="AF156" s="517"/>
      <c r="AG156" s="517"/>
    </row>
    <row r="157" spans="2:33">
      <c r="B157" s="517"/>
      <c r="C157" s="517"/>
      <c r="D157" s="517"/>
      <c r="E157" s="517"/>
      <c r="F157" s="517"/>
      <c r="G157" s="517"/>
      <c r="H157" s="517"/>
      <c r="I157" s="517"/>
      <c r="J157" s="517"/>
      <c r="K157" s="517"/>
      <c r="L157" s="517"/>
      <c r="M157" s="517"/>
      <c r="N157" s="517"/>
      <c r="O157" s="517"/>
      <c r="P157" s="517"/>
      <c r="Q157" s="517"/>
      <c r="R157" s="517"/>
      <c r="S157" s="517"/>
      <c r="T157" s="517"/>
      <c r="U157" s="517"/>
      <c r="V157" s="517"/>
      <c r="W157" s="517"/>
      <c r="X157" s="517"/>
      <c r="Y157" s="517"/>
      <c r="Z157" s="517"/>
      <c r="AA157" s="517"/>
      <c r="AB157" s="517"/>
      <c r="AC157" s="517"/>
      <c r="AD157" s="517"/>
      <c r="AE157" s="517"/>
      <c r="AF157" s="517"/>
      <c r="AG157" s="517"/>
    </row>
    <row r="158" spans="2:33">
      <c r="B158" s="517"/>
      <c r="C158" s="517"/>
      <c r="D158" s="517"/>
      <c r="E158" s="517"/>
      <c r="F158" s="517"/>
      <c r="G158" s="517"/>
      <c r="H158" s="517"/>
      <c r="I158" s="517"/>
      <c r="J158" s="517"/>
      <c r="K158" s="517"/>
      <c r="L158" s="517"/>
      <c r="M158" s="517"/>
      <c r="N158" s="517"/>
      <c r="O158" s="517"/>
      <c r="P158" s="517"/>
      <c r="Q158" s="517"/>
      <c r="R158" s="517"/>
      <c r="S158" s="517"/>
      <c r="T158" s="517"/>
      <c r="U158" s="517"/>
      <c r="V158" s="517"/>
      <c r="W158" s="517"/>
      <c r="X158" s="517"/>
      <c r="Y158" s="517"/>
      <c r="Z158" s="517"/>
      <c r="AA158" s="517"/>
      <c r="AB158" s="517"/>
      <c r="AC158" s="517"/>
      <c r="AD158" s="517"/>
      <c r="AE158" s="517"/>
      <c r="AF158" s="517"/>
      <c r="AG158" s="517"/>
    </row>
    <row r="159" spans="2:33">
      <c r="B159" s="517"/>
      <c r="C159" s="517"/>
      <c r="D159" s="517"/>
      <c r="E159" s="517"/>
      <c r="F159" s="517"/>
      <c r="G159" s="517"/>
      <c r="H159" s="517"/>
      <c r="I159" s="517"/>
      <c r="J159" s="517"/>
      <c r="K159" s="517"/>
      <c r="L159" s="517"/>
      <c r="M159" s="517"/>
      <c r="N159" s="517"/>
      <c r="O159" s="517"/>
      <c r="P159" s="517"/>
      <c r="Q159" s="517"/>
      <c r="R159" s="517"/>
      <c r="S159" s="517"/>
      <c r="T159" s="517"/>
      <c r="U159" s="517"/>
      <c r="V159" s="517"/>
      <c r="W159" s="517"/>
      <c r="X159" s="517"/>
      <c r="Y159" s="517"/>
      <c r="Z159" s="517"/>
      <c r="AA159" s="517"/>
      <c r="AB159" s="517"/>
      <c r="AC159" s="517"/>
      <c r="AD159" s="517"/>
      <c r="AE159" s="517"/>
      <c r="AF159" s="517"/>
      <c r="AG159" s="517"/>
    </row>
    <row r="160" spans="2:33">
      <c r="B160" s="517"/>
      <c r="C160" s="517"/>
      <c r="D160" s="517"/>
      <c r="E160" s="517"/>
      <c r="F160" s="517"/>
      <c r="G160" s="517"/>
      <c r="H160" s="517"/>
      <c r="I160" s="517"/>
      <c r="J160" s="517"/>
      <c r="K160" s="517"/>
      <c r="L160" s="517"/>
      <c r="M160" s="517"/>
      <c r="N160" s="517"/>
      <c r="O160" s="517"/>
      <c r="P160" s="517"/>
      <c r="Q160" s="517"/>
      <c r="R160" s="517"/>
      <c r="S160" s="517"/>
      <c r="T160" s="517"/>
      <c r="U160" s="517"/>
      <c r="V160" s="517"/>
      <c r="W160" s="517"/>
      <c r="X160" s="517"/>
      <c r="Y160" s="517"/>
      <c r="Z160" s="517"/>
      <c r="AA160" s="517"/>
      <c r="AB160" s="517"/>
      <c r="AC160" s="517"/>
      <c r="AD160" s="517"/>
      <c r="AE160" s="517"/>
      <c r="AF160" s="517"/>
      <c r="AG160" s="517"/>
    </row>
    <row r="161" spans="2:33">
      <c r="B161" s="517"/>
      <c r="C161" s="517"/>
      <c r="D161" s="517"/>
      <c r="E161" s="517"/>
      <c r="F161" s="517"/>
      <c r="G161" s="517"/>
      <c r="H161" s="517"/>
      <c r="I161" s="517"/>
      <c r="J161" s="517"/>
      <c r="K161" s="517"/>
      <c r="L161" s="517"/>
      <c r="M161" s="517"/>
      <c r="N161" s="517"/>
      <c r="O161" s="517"/>
      <c r="P161" s="517"/>
      <c r="Q161" s="517"/>
      <c r="R161" s="517"/>
      <c r="S161" s="517"/>
      <c r="T161" s="517"/>
      <c r="U161" s="517"/>
      <c r="V161" s="517"/>
      <c r="W161" s="517"/>
      <c r="X161" s="517"/>
      <c r="Y161" s="517"/>
      <c r="Z161" s="517"/>
      <c r="AA161" s="517"/>
      <c r="AB161" s="517"/>
      <c r="AC161" s="517"/>
      <c r="AD161" s="517"/>
      <c r="AE161" s="517"/>
      <c r="AF161" s="517"/>
      <c r="AG161" s="517"/>
    </row>
    <row r="162" spans="2:33">
      <c r="B162" s="517"/>
      <c r="C162" s="517"/>
      <c r="D162" s="517"/>
      <c r="E162" s="517"/>
      <c r="F162" s="517"/>
      <c r="G162" s="517"/>
      <c r="H162" s="517"/>
      <c r="I162" s="517"/>
      <c r="J162" s="517"/>
      <c r="K162" s="517"/>
      <c r="L162" s="517"/>
      <c r="M162" s="517"/>
      <c r="N162" s="517"/>
      <c r="O162" s="517"/>
      <c r="P162" s="517"/>
      <c r="Q162" s="517"/>
      <c r="R162" s="517"/>
      <c r="S162" s="517"/>
      <c r="T162" s="517"/>
      <c r="U162" s="517"/>
      <c r="V162" s="517"/>
      <c r="W162" s="517"/>
      <c r="X162" s="517"/>
      <c r="Y162" s="517"/>
      <c r="Z162" s="517"/>
      <c r="AA162" s="517"/>
      <c r="AB162" s="517"/>
      <c r="AC162" s="517"/>
      <c r="AD162" s="517"/>
      <c r="AE162" s="517"/>
      <c r="AF162" s="517"/>
      <c r="AG162" s="517"/>
    </row>
    <row r="163" spans="2:33">
      <c r="B163" s="517"/>
      <c r="C163" s="517"/>
      <c r="D163" s="517"/>
      <c r="E163" s="517"/>
      <c r="F163" s="517"/>
      <c r="G163" s="517"/>
      <c r="H163" s="517"/>
      <c r="I163" s="517"/>
      <c r="J163" s="517"/>
      <c r="K163" s="517"/>
      <c r="L163" s="517"/>
      <c r="M163" s="517"/>
      <c r="N163" s="517"/>
      <c r="O163" s="517"/>
      <c r="P163" s="517"/>
      <c r="Q163" s="517"/>
      <c r="R163" s="517"/>
      <c r="S163" s="517"/>
      <c r="T163" s="517"/>
      <c r="U163" s="517"/>
      <c r="V163" s="517"/>
      <c r="W163" s="517"/>
      <c r="X163" s="517"/>
      <c r="Y163" s="517"/>
      <c r="Z163" s="517"/>
      <c r="AA163" s="517"/>
      <c r="AB163" s="517"/>
      <c r="AC163" s="517"/>
      <c r="AD163" s="517"/>
      <c r="AE163" s="517"/>
      <c r="AF163" s="517"/>
      <c r="AG163" s="517"/>
    </row>
    <row r="164" spans="2:33">
      <c r="B164" s="517"/>
      <c r="C164" s="517"/>
      <c r="D164" s="517"/>
      <c r="E164" s="517"/>
      <c r="F164" s="517"/>
      <c r="G164" s="517"/>
      <c r="H164" s="517"/>
      <c r="I164" s="517"/>
      <c r="J164" s="517"/>
      <c r="K164" s="517"/>
      <c r="L164" s="517"/>
      <c r="M164" s="517"/>
      <c r="N164" s="517"/>
      <c r="O164" s="517"/>
      <c r="P164" s="517"/>
      <c r="Q164" s="517"/>
      <c r="R164" s="517"/>
      <c r="S164" s="517"/>
      <c r="T164" s="517"/>
      <c r="U164" s="517"/>
      <c r="V164" s="517"/>
      <c r="W164" s="517"/>
      <c r="X164" s="517"/>
      <c r="Y164" s="517"/>
      <c r="Z164" s="517"/>
      <c r="AA164" s="517"/>
      <c r="AB164" s="517"/>
      <c r="AC164" s="517"/>
      <c r="AD164" s="517"/>
      <c r="AE164" s="517"/>
      <c r="AF164" s="517"/>
      <c r="AG164" s="517"/>
    </row>
    <row r="165" spans="2:33">
      <c r="B165" s="517"/>
      <c r="C165" s="517"/>
      <c r="D165" s="517"/>
      <c r="E165" s="517"/>
      <c r="F165" s="517"/>
      <c r="G165" s="517"/>
      <c r="H165" s="517"/>
      <c r="I165" s="517"/>
      <c r="J165" s="517"/>
      <c r="K165" s="517"/>
      <c r="L165" s="517"/>
      <c r="M165" s="517"/>
      <c r="N165" s="517"/>
      <c r="O165" s="517"/>
      <c r="P165" s="517"/>
      <c r="Q165" s="517"/>
      <c r="R165" s="517"/>
      <c r="S165" s="517"/>
      <c r="T165" s="517"/>
      <c r="U165" s="517"/>
      <c r="V165" s="517"/>
      <c r="W165" s="517"/>
      <c r="X165" s="517"/>
      <c r="Y165" s="517"/>
      <c r="Z165" s="517"/>
      <c r="AA165" s="517"/>
      <c r="AB165" s="517"/>
      <c r="AC165" s="517"/>
      <c r="AD165" s="517"/>
      <c r="AE165" s="517"/>
      <c r="AF165" s="517"/>
      <c r="AG165" s="517"/>
    </row>
    <row r="166" spans="2:33">
      <c r="B166" s="517"/>
      <c r="C166" s="517"/>
      <c r="D166" s="517"/>
      <c r="E166" s="517"/>
      <c r="F166" s="517"/>
      <c r="G166" s="517"/>
      <c r="H166" s="517"/>
      <c r="I166" s="517"/>
      <c r="J166" s="517"/>
      <c r="K166" s="517"/>
      <c r="L166" s="517"/>
      <c r="M166" s="517"/>
      <c r="N166" s="517"/>
      <c r="O166" s="517"/>
      <c r="P166" s="517"/>
      <c r="Q166" s="517"/>
      <c r="R166" s="517"/>
      <c r="S166" s="517"/>
      <c r="T166" s="517"/>
      <c r="U166" s="517"/>
      <c r="V166" s="517"/>
      <c r="W166" s="517"/>
      <c r="X166" s="517"/>
      <c r="Y166" s="517"/>
      <c r="Z166" s="517"/>
      <c r="AA166" s="517"/>
      <c r="AB166" s="517"/>
      <c r="AC166" s="517"/>
      <c r="AD166" s="517"/>
      <c r="AE166" s="517"/>
      <c r="AF166" s="517"/>
      <c r="AG166" s="517"/>
    </row>
    <row r="167" spans="2:33">
      <c r="B167" s="517"/>
      <c r="C167" s="517"/>
      <c r="D167" s="517"/>
      <c r="E167" s="517"/>
      <c r="F167" s="517"/>
      <c r="G167" s="517"/>
      <c r="H167" s="517"/>
      <c r="I167" s="517"/>
      <c r="J167" s="517"/>
      <c r="K167" s="517"/>
      <c r="L167" s="517"/>
      <c r="M167" s="517"/>
      <c r="N167" s="517"/>
      <c r="O167" s="517"/>
      <c r="P167" s="517"/>
      <c r="Q167" s="517"/>
      <c r="R167" s="517"/>
      <c r="S167" s="517"/>
      <c r="T167" s="517"/>
      <c r="U167" s="517"/>
      <c r="V167" s="517"/>
      <c r="W167" s="517"/>
      <c r="X167" s="517"/>
      <c r="Y167" s="517"/>
      <c r="Z167" s="517"/>
      <c r="AA167" s="517"/>
      <c r="AB167" s="517"/>
      <c r="AC167" s="517"/>
      <c r="AD167" s="517"/>
      <c r="AE167" s="517"/>
      <c r="AF167" s="517"/>
      <c r="AG167" s="517"/>
    </row>
    <row r="168" spans="2:33">
      <c r="B168" s="517"/>
      <c r="C168" s="517"/>
      <c r="D168" s="517"/>
      <c r="E168" s="517"/>
      <c r="F168" s="517"/>
      <c r="G168" s="517"/>
      <c r="H168" s="517"/>
      <c r="I168" s="517"/>
      <c r="J168" s="517"/>
      <c r="K168" s="517"/>
      <c r="L168" s="517"/>
      <c r="M168" s="517"/>
      <c r="N168" s="517"/>
      <c r="O168" s="517"/>
      <c r="P168" s="517"/>
      <c r="Q168" s="517"/>
      <c r="R168" s="517"/>
      <c r="S168" s="517"/>
      <c r="T168" s="517"/>
      <c r="U168" s="517"/>
      <c r="V168" s="517"/>
      <c r="W168" s="517"/>
      <c r="X168" s="517"/>
      <c r="Y168" s="517"/>
      <c r="Z168" s="517"/>
      <c r="AA168" s="517"/>
      <c r="AB168" s="517"/>
      <c r="AC168" s="517"/>
      <c r="AD168" s="517"/>
      <c r="AE168" s="517"/>
      <c r="AF168" s="517"/>
      <c r="AG168" s="517"/>
    </row>
    <row r="169" spans="2:33">
      <c r="B169" s="517"/>
      <c r="C169" s="517"/>
      <c r="D169" s="517"/>
      <c r="E169" s="517"/>
      <c r="F169" s="517"/>
      <c r="G169" s="517"/>
      <c r="H169" s="517"/>
      <c r="I169" s="517"/>
      <c r="J169" s="517"/>
      <c r="K169" s="517"/>
      <c r="L169" s="517"/>
      <c r="M169" s="517"/>
      <c r="N169" s="517"/>
      <c r="O169" s="517"/>
      <c r="P169" s="517"/>
      <c r="Q169" s="517"/>
      <c r="R169" s="517"/>
      <c r="S169" s="517"/>
      <c r="T169" s="517"/>
      <c r="U169" s="517"/>
      <c r="V169" s="517"/>
      <c r="W169" s="517"/>
      <c r="X169" s="517"/>
      <c r="Y169" s="517"/>
      <c r="Z169" s="517"/>
      <c r="AA169" s="517"/>
      <c r="AB169" s="517"/>
      <c r="AC169" s="517"/>
      <c r="AD169" s="517"/>
      <c r="AE169" s="517"/>
      <c r="AF169" s="517"/>
      <c r="AG169" s="517"/>
    </row>
    <row r="170" spans="2:33">
      <c r="B170" s="517"/>
      <c r="C170" s="517"/>
      <c r="D170" s="517"/>
      <c r="E170" s="517"/>
      <c r="F170" s="517"/>
      <c r="G170" s="517"/>
      <c r="H170" s="517"/>
      <c r="I170" s="517"/>
      <c r="J170" s="517"/>
      <c r="K170" s="517"/>
      <c r="L170" s="517"/>
      <c r="M170" s="517"/>
      <c r="N170" s="517"/>
      <c r="O170" s="517"/>
      <c r="P170" s="517"/>
      <c r="Q170" s="517"/>
      <c r="R170" s="517"/>
      <c r="S170" s="517"/>
      <c r="T170" s="517"/>
      <c r="U170" s="517"/>
      <c r="V170" s="517"/>
      <c r="W170" s="517"/>
      <c r="X170" s="517"/>
      <c r="Y170" s="517"/>
      <c r="Z170" s="517"/>
      <c r="AA170" s="517"/>
      <c r="AB170" s="517"/>
      <c r="AC170" s="517"/>
      <c r="AD170" s="517"/>
      <c r="AE170" s="517"/>
      <c r="AF170" s="517"/>
      <c r="AG170" s="517"/>
    </row>
    <row r="171" spans="2:33">
      <c r="B171" s="517"/>
      <c r="C171" s="517"/>
      <c r="D171" s="517"/>
      <c r="E171" s="517"/>
      <c r="F171" s="517"/>
      <c r="G171" s="517"/>
      <c r="H171" s="517"/>
      <c r="I171" s="517"/>
      <c r="J171" s="517"/>
      <c r="K171" s="517"/>
      <c r="L171" s="517"/>
      <c r="M171" s="517"/>
      <c r="N171" s="517"/>
      <c r="O171" s="517"/>
      <c r="P171" s="517"/>
      <c r="Q171" s="517"/>
      <c r="R171" s="517"/>
      <c r="S171" s="517"/>
      <c r="T171" s="517"/>
      <c r="U171" s="517"/>
      <c r="V171" s="517"/>
      <c r="W171" s="517"/>
      <c r="X171" s="517"/>
      <c r="Y171" s="517"/>
      <c r="Z171" s="517"/>
      <c r="AA171" s="517"/>
      <c r="AB171" s="517"/>
      <c r="AC171" s="517"/>
      <c r="AD171" s="517"/>
      <c r="AE171" s="517"/>
      <c r="AF171" s="517"/>
      <c r="AG171" s="517"/>
    </row>
    <row r="172" spans="2:33">
      <c r="B172" s="517"/>
      <c r="C172" s="517"/>
      <c r="D172" s="517"/>
      <c r="E172" s="517"/>
      <c r="F172" s="517"/>
      <c r="G172" s="517"/>
      <c r="H172" s="517"/>
      <c r="I172" s="517"/>
      <c r="J172" s="517"/>
      <c r="K172" s="517"/>
      <c r="L172" s="517"/>
      <c r="M172" s="517"/>
      <c r="N172" s="517"/>
      <c r="O172" s="517"/>
      <c r="P172" s="517"/>
      <c r="Q172" s="517"/>
      <c r="R172" s="517"/>
      <c r="S172" s="517"/>
      <c r="T172" s="517"/>
      <c r="U172" s="517"/>
      <c r="V172" s="517"/>
      <c r="W172" s="517"/>
      <c r="X172" s="517"/>
      <c r="Y172" s="517"/>
      <c r="Z172" s="517"/>
      <c r="AA172" s="517"/>
      <c r="AB172" s="517"/>
      <c r="AC172" s="517"/>
      <c r="AD172" s="517"/>
      <c r="AE172" s="517"/>
      <c r="AF172" s="517"/>
      <c r="AG172" s="517"/>
    </row>
    <row r="173" spans="2:33">
      <c r="B173" s="517"/>
      <c r="C173" s="517"/>
      <c r="D173" s="517"/>
      <c r="E173" s="517"/>
      <c r="F173" s="517"/>
      <c r="G173" s="517"/>
      <c r="H173" s="517"/>
      <c r="I173" s="517"/>
      <c r="J173" s="517"/>
      <c r="K173" s="517"/>
      <c r="L173" s="517"/>
      <c r="M173" s="517"/>
      <c r="N173" s="517"/>
      <c r="O173" s="517"/>
      <c r="P173" s="517"/>
      <c r="Q173" s="517"/>
      <c r="R173" s="517"/>
      <c r="S173" s="517"/>
      <c r="T173" s="517"/>
      <c r="U173" s="517"/>
      <c r="V173" s="517"/>
      <c r="W173" s="517"/>
      <c r="X173" s="517"/>
      <c r="Y173" s="517"/>
      <c r="Z173" s="517"/>
      <c r="AA173" s="517"/>
      <c r="AB173" s="517"/>
      <c r="AC173" s="517"/>
      <c r="AD173" s="517"/>
      <c r="AE173" s="517"/>
      <c r="AF173" s="517"/>
      <c r="AG173" s="517"/>
    </row>
    <row r="174" spans="2:33">
      <c r="B174" s="517"/>
      <c r="C174" s="517"/>
      <c r="D174" s="517"/>
      <c r="E174" s="517"/>
      <c r="F174" s="517"/>
      <c r="G174" s="517"/>
      <c r="H174" s="517"/>
      <c r="I174" s="517"/>
      <c r="J174" s="517"/>
      <c r="K174" s="517"/>
      <c r="L174" s="517"/>
      <c r="M174" s="517"/>
      <c r="N174" s="517"/>
      <c r="O174" s="517"/>
      <c r="P174" s="517"/>
      <c r="Q174" s="517"/>
      <c r="R174" s="517"/>
      <c r="S174" s="517"/>
      <c r="T174" s="517"/>
      <c r="U174" s="517"/>
      <c r="V174" s="517"/>
      <c r="W174" s="517"/>
      <c r="X174" s="517"/>
      <c r="Y174" s="517"/>
      <c r="Z174" s="517"/>
      <c r="AA174" s="517"/>
      <c r="AB174" s="517"/>
      <c r="AC174" s="517"/>
      <c r="AD174" s="517"/>
      <c r="AE174" s="517"/>
      <c r="AF174" s="517"/>
      <c r="AG174" s="517"/>
    </row>
    <row r="175" spans="2:33">
      <c r="B175" s="517"/>
      <c r="C175" s="517"/>
      <c r="D175" s="517"/>
      <c r="E175" s="517"/>
      <c r="F175" s="517"/>
      <c r="G175" s="517"/>
      <c r="H175" s="517"/>
      <c r="I175" s="517"/>
      <c r="J175" s="517"/>
      <c r="K175" s="517"/>
      <c r="L175" s="517"/>
      <c r="M175" s="517"/>
      <c r="N175" s="517"/>
      <c r="O175" s="517"/>
      <c r="P175" s="517"/>
      <c r="Q175" s="517"/>
      <c r="R175" s="517"/>
      <c r="S175" s="517"/>
      <c r="T175" s="517"/>
      <c r="U175" s="517"/>
      <c r="V175" s="517"/>
      <c r="W175" s="517"/>
      <c r="X175" s="517"/>
      <c r="Y175" s="517"/>
      <c r="Z175" s="517"/>
      <c r="AA175" s="517"/>
      <c r="AB175" s="517"/>
      <c r="AC175" s="517"/>
      <c r="AD175" s="517"/>
      <c r="AE175" s="517"/>
      <c r="AF175" s="517"/>
      <c r="AG175" s="517"/>
    </row>
    <row r="176" spans="2:33">
      <c r="B176" s="517"/>
      <c r="C176" s="517"/>
      <c r="D176" s="517"/>
      <c r="E176" s="517"/>
      <c r="F176" s="517"/>
      <c r="G176" s="517"/>
      <c r="H176" s="517"/>
      <c r="I176" s="517"/>
      <c r="J176" s="517"/>
      <c r="K176" s="517"/>
      <c r="L176" s="517"/>
      <c r="M176" s="517"/>
      <c r="N176" s="517"/>
      <c r="O176" s="517"/>
      <c r="P176" s="517"/>
      <c r="Q176" s="517"/>
      <c r="R176" s="517"/>
      <c r="S176" s="517"/>
      <c r="T176" s="517"/>
      <c r="U176" s="517"/>
      <c r="V176" s="517"/>
      <c r="W176" s="517"/>
      <c r="X176" s="517"/>
      <c r="Y176" s="517"/>
      <c r="Z176" s="517"/>
      <c r="AA176" s="517"/>
      <c r="AB176" s="517"/>
      <c r="AC176" s="517"/>
      <c r="AD176" s="517"/>
      <c r="AE176" s="517"/>
      <c r="AF176" s="517"/>
      <c r="AG176" s="517"/>
    </row>
    <row r="177" spans="2:33">
      <c r="B177" s="517"/>
      <c r="C177" s="517"/>
      <c r="D177" s="517"/>
      <c r="E177" s="517"/>
      <c r="F177" s="517"/>
      <c r="G177" s="517"/>
      <c r="H177" s="517"/>
      <c r="I177" s="517"/>
      <c r="J177" s="517"/>
      <c r="K177" s="517"/>
      <c r="L177" s="517"/>
      <c r="M177" s="517"/>
      <c r="N177" s="517"/>
      <c r="O177" s="517"/>
      <c r="P177" s="517"/>
      <c r="Q177" s="517"/>
      <c r="R177" s="517"/>
      <c r="S177" s="517"/>
      <c r="T177" s="517"/>
      <c r="U177" s="517"/>
      <c r="V177" s="517"/>
      <c r="W177" s="517"/>
      <c r="X177" s="517"/>
      <c r="Y177" s="517"/>
      <c r="Z177" s="517"/>
      <c r="AA177" s="517"/>
      <c r="AB177" s="517"/>
      <c r="AC177" s="517"/>
      <c r="AD177" s="517"/>
      <c r="AE177" s="517"/>
      <c r="AF177" s="517"/>
      <c r="AG177" s="517"/>
    </row>
    <row r="178" spans="2:33">
      <c r="B178" s="517"/>
      <c r="C178" s="517"/>
      <c r="D178" s="517"/>
      <c r="E178" s="517"/>
      <c r="F178" s="517"/>
      <c r="G178" s="517"/>
      <c r="H178" s="517"/>
      <c r="I178" s="517"/>
      <c r="J178" s="517"/>
      <c r="K178" s="517"/>
      <c r="L178" s="517"/>
      <c r="M178" s="517"/>
      <c r="N178" s="517"/>
      <c r="O178" s="517"/>
      <c r="P178" s="517"/>
      <c r="Q178" s="517"/>
      <c r="R178" s="517"/>
      <c r="S178" s="517"/>
      <c r="T178" s="517"/>
      <c r="U178" s="517"/>
      <c r="V178" s="517"/>
      <c r="W178" s="517"/>
      <c r="X178" s="517"/>
      <c r="Y178" s="517"/>
      <c r="Z178" s="517"/>
      <c r="AA178" s="517"/>
      <c r="AB178" s="517"/>
      <c r="AC178" s="517"/>
      <c r="AD178" s="517"/>
      <c r="AE178" s="517"/>
      <c r="AF178" s="517"/>
      <c r="AG178" s="517"/>
    </row>
    <row r="179" spans="2:33">
      <c r="B179" s="517"/>
      <c r="C179" s="517"/>
      <c r="D179" s="517"/>
      <c r="E179" s="517"/>
      <c r="F179" s="517"/>
      <c r="G179" s="517"/>
      <c r="H179" s="517"/>
      <c r="I179" s="517"/>
      <c r="J179" s="517"/>
      <c r="K179" s="517"/>
      <c r="L179" s="517"/>
      <c r="M179" s="517"/>
      <c r="N179" s="517"/>
      <c r="O179" s="517"/>
      <c r="P179" s="517"/>
      <c r="Q179" s="517"/>
      <c r="R179" s="517"/>
      <c r="S179" s="517"/>
      <c r="T179" s="517"/>
      <c r="U179" s="517"/>
      <c r="V179" s="517"/>
      <c r="W179" s="517"/>
      <c r="X179" s="517"/>
      <c r="Y179" s="517"/>
      <c r="Z179" s="517"/>
      <c r="AA179" s="517"/>
      <c r="AB179" s="517"/>
      <c r="AC179" s="517"/>
      <c r="AD179" s="517"/>
      <c r="AE179" s="517"/>
      <c r="AF179" s="517"/>
      <c r="AG179" s="517"/>
    </row>
    <row r="180" spans="2:33">
      <c r="B180" s="517"/>
      <c r="C180" s="517"/>
      <c r="D180" s="517"/>
      <c r="E180" s="517"/>
      <c r="F180" s="517"/>
      <c r="G180" s="517"/>
      <c r="H180" s="517"/>
      <c r="I180" s="517"/>
      <c r="J180" s="517"/>
      <c r="K180" s="517"/>
      <c r="L180" s="517"/>
      <c r="M180" s="517"/>
      <c r="N180" s="517"/>
      <c r="O180" s="517"/>
      <c r="P180" s="517"/>
      <c r="Q180" s="517"/>
      <c r="R180" s="517"/>
      <c r="S180" s="517"/>
      <c r="T180" s="517"/>
      <c r="U180" s="517"/>
      <c r="V180" s="517"/>
      <c r="W180" s="517"/>
      <c r="X180" s="517"/>
      <c r="Y180" s="517"/>
      <c r="Z180" s="517"/>
      <c r="AA180" s="517"/>
      <c r="AB180" s="517"/>
      <c r="AC180" s="517"/>
      <c r="AD180" s="517"/>
      <c r="AE180" s="517"/>
      <c r="AF180" s="517"/>
      <c r="AG180" s="517"/>
    </row>
    <row r="181" spans="2:33">
      <c r="B181" s="517"/>
      <c r="C181" s="517"/>
      <c r="D181" s="517"/>
      <c r="E181" s="517"/>
      <c r="F181" s="517"/>
      <c r="G181" s="517"/>
      <c r="H181" s="517"/>
      <c r="I181" s="517"/>
      <c r="J181" s="517"/>
      <c r="K181" s="517"/>
      <c r="L181" s="517"/>
      <c r="M181" s="517"/>
      <c r="N181" s="517"/>
      <c r="O181" s="517"/>
      <c r="P181" s="517"/>
      <c r="Q181" s="517"/>
      <c r="R181" s="517"/>
      <c r="S181" s="517"/>
      <c r="T181" s="517"/>
      <c r="U181" s="517"/>
      <c r="V181" s="517"/>
      <c r="W181" s="517"/>
      <c r="X181" s="517"/>
      <c r="Y181" s="517"/>
      <c r="Z181" s="517"/>
      <c r="AA181" s="517"/>
      <c r="AB181" s="517"/>
      <c r="AC181" s="517"/>
      <c r="AD181" s="517"/>
      <c r="AE181" s="517"/>
      <c r="AF181" s="517"/>
      <c r="AG181" s="517"/>
    </row>
    <row r="182" spans="2:33">
      <c r="B182" s="517"/>
      <c r="C182" s="517"/>
      <c r="D182" s="517"/>
      <c r="E182" s="517"/>
      <c r="F182" s="517"/>
      <c r="G182" s="517"/>
      <c r="H182" s="517"/>
      <c r="I182" s="517"/>
      <c r="J182" s="517"/>
      <c r="K182" s="517"/>
      <c r="L182" s="517"/>
      <c r="M182" s="517"/>
      <c r="N182" s="517"/>
      <c r="O182" s="517"/>
      <c r="P182" s="517"/>
      <c r="Q182" s="517"/>
      <c r="R182" s="517"/>
      <c r="S182" s="517"/>
      <c r="T182" s="517"/>
      <c r="U182" s="517"/>
      <c r="V182" s="517"/>
      <c r="W182" s="517"/>
      <c r="X182" s="517"/>
      <c r="Y182" s="517"/>
      <c r="Z182" s="517"/>
      <c r="AA182" s="517"/>
      <c r="AB182" s="517"/>
      <c r="AC182" s="517"/>
      <c r="AD182" s="517"/>
      <c r="AE182" s="517"/>
      <c r="AF182" s="517"/>
      <c r="AG182" s="517"/>
    </row>
    <row r="183" spans="2:33">
      <c r="B183" s="517"/>
      <c r="C183" s="517"/>
      <c r="D183" s="517"/>
      <c r="E183" s="517"/>
      <c r="F183" s="517"/>
      <c r="G183" s="517"/>
      <c r="H183" s="517"/>
      <c r="I183" s="517"/>
      <c r="J183" s="517"/>
      <c r="K183" s="517"/>
      <c r="L183" s="517"/>
      <c r="M183" s="517"/>
      <c r="N183" s="517"/>
      <c r="O183" s="517"/>
      <c r="P183" s="517"/>
      <c r="Q183" s="517"/>
      <c r="R183" s="517"/>
      <c r="S183" s="517"/>
      <c r="T183" s="517"/>
      <c r="U183" s="517"/>
      <c r="V183" s="517"/>
      <c r="W183" s="517"/>
      <c r="X183" s="517"/>
      <c r="Y183" s="517"/>
      <c r="Z183" s="517"/>
      <c r="AA183" s="517"/>
      <c r="AB183" s="517"/>
      <c r="AC183" s="517"/>
      <c r="AD183" s="517"/>
      <c r="AE183" s="517"/>
      <c r="AF183" s="517"/>
      <c r="AG183" s="517"/>
    </row>
    <row r="184" spans="2:33">
      <c r="B184" s="517"/>
      <c r="C184" s="517"/>
      <c r="D184" s="517"/>
      <c r="E184" s="517"/>
      <c r="F184" s="517"/>
      <c r="G184" s="517"/>
      <c r="H184" s="517"/>
      <c r="I184" s="517"/>
      <c r="J184" s="517"/>
      <c r="K184" s="517"/>
      <c r="L184" s="517"/>
      <c r="M184" s="517"/>
      <c r="N184" s="517"/>
      <c r="O184" s="517"/>
      <c r="P184" s="517"/>
      <c r="Q184" s="517"/>
      <c r="R184" s="517"/>
      <c r="S184" s="517"/>
      <c r="T184" s="517"/>
      <c r="U184" s="517"/>
      <c r="V184" s="517"/>
      <c r="W184" s="517"/>
      <c r="X184" s="517"/>
      <c r="Y184" s="517"/>
      <c r="Z184" s="517"/>
      <c r="AA184" s="517"/>
      <c r="AB184" s="517"/>
      <c r="AC184" s="517"/>
      <c r="AD184" s="517"/>
      <c r="AE184" s="517"/>
      <c r="AF184" s="517"/>
      <c r="AG184" s="517"/>
    </row>
    <row r="185" spans="2:33">
      <c r="B185" s="517"/>
      <c r="C185" s="517"/>
      <c r="D185" s="517"/>
      <c r="E185" s="517"/>
      <c r="F185" s="517"/>
      <c r="G185" s="517"/>
      <c r="H185" s="517"/>
      <c r="I185" s="517"/>
      <c r="J185" s="517"/>
      <c r="K185" s="517"/>
      <c r="L185" s="517"/>
      <c r="M185" s="517"/>
      <c r="N185" s="517"/>
      <c r="O185" s="517"/>
      <c r="P185" s="517"/>
      <c r="Q185" s="517"/>
      <c r="R185" s="517"/>
      <c r="S185" s="517"/>
      <c r="T185" s="517"/>
      <c r="U185" s="517"/>
      <c r="V185" s="517"/>
      <c r="W185" s="517"/>
      <c r="X185" s="517"/>
      <c r="Y185" s="517"/>
      <c r="Z185" s="517"/>
      <c r="AA185" s="517"/>
      <c r="AB185" s="517"/>
      <c r="AC185" s="517"/>
      <c r="AD185" s="517"/>
      <c r="AE185" s="517"/>
      <c r="AF185" s="517"/>
      <c r="AG185" s="517"/>
    </row>
    <row r="186" spans="2:33">
      <c r="B186" s="517"/>
      <c r="C186" s="517"/>
      <c r="D186" s="517"/>
      <c r="E186" s="517"/>
      <c r="F186" s="517"/>
      <c r="G186" s="517"/>
      <c r="H186" s="517"/>
      <c r="I186" s="517"/>
      <c r="J186" s="517"/>
      <c r="K186" s="517"/>
      <c r="L186" s="517"/>
      <c r="M186" s="517"/>
      <c r="N186" s="517"/>
      <c r="O186" s="517"/>
      <c r="P186" s="517"/>
      <c r="Q186" s="517"/>
      <c r="R186" s="517"/>
      <c r="S186" s="517"/>
      <c r="T186" s="517"/>
      <c r="U186" s="517"/>
      <c r="V186" s="517"/>
      <c r="W186" s="517"/>
      <c r="X186" s="517"/>
      <c r="Y186" s="517"/>
      <c r="Z186" s="517"/>
      <c r="AA186" s="517"/>
      <c r="AB186" s="517"/>
      <c r="AC186" s="517"/>
      <c r="AD186" s="517"/>
      <c r="AE186" s="517"/>
      <c r="AF186" s="517"/>
      <c r="AG186" s="517"/>
    </row>
    <row r="187" spans="2:33">
      <c r="B187" s="517"/>
      <c r="C187" s="517"/>
      <c r="D187" s="517"/>
      <c r="E187" s="517"/>
      <c r="F187" s="517"/>
      <c r="G187" s="517"/>
      <c r="H187" s="517"/>
      <c r="I187" s="517"/>
      <c r="J187" s="517"/>
      <c r="K187" s="517"/>
      <c r="L187" s="517"/>
      <c r="M187" s="517"/>
      <c r="N187" s="517"/>
      <c r="O187" s="517"/>
      <c r="P187" s="517"/>
      <c r="Q187" s="517"/>
      <c r="R187" s="517"/>
      <c r="S187" s="517"/>
      <c r="T187" s="517"/>
      <c r="U187" s="517"/>
      <c r="V187" s="517"/>
      <c r="W187" s="517"/>
      <c r="X187" s="517"/>
      <c r="Y187" s="517"/>
      <c r="Z187" s="517"/>
      <c r="AA187" s="517"/>
      <c r="AB187" s="517"/>
      <c r="AC187" s="517"/>
      <c r="AD187" s="517"/>
      <c r="AE187" s="517"/>
      <c r="AF187" s="517"/>
      <c r="AG187" s="517"/>
    </row>
    <row r="188" spans="2:33">
      <c r="B188" s="517"/>
      <c r="C188" s="517"/>
      <c r="D188" s="517"/>
      <c r="E188" s="517"/>
      <c r="F188" s="517"/>
      <c r="G188" s="517"/>
      <c r="H188" s="517"/>
      <c r="I188" s="517"/>
      <c r="J188" s="517"/>
      <c r="K188" s="517"/>
      <c r="L188" s="517"/>
      <c r="M188" s="517"/>
      <c r="N188" s="517"/>
      <c r="O188" s="517"/>
      <c r="P188" s="517"/>
      <c r="Q188" s="517"/>
      <c r="R188" s="517"/>
      <c r="S188" s="517"/>
      <c r="T188" s="517"/>
      <c r="U188" s="517"/>
      <c r="V188" s="517"/>
      <c r="W188" s="517"/>
      <c r="X188" s="517"/>
      <c r="Y188" s="517"/>
      <c r="Z188" s="517"/>
      <c r="AA188" s="517"/>
      <c r="AB188" s="517"/>
      <c r="AC188" s="517"/>
      <c r="AD188" s="517"/>
      <c r="AE188" s="517"/>
      <c r="AF188" s="517"/>
      <c r="AG188" s="517"/>
    </row>
    <row r="189" spans="2:33">
      <c r="B189" s="517"/>
      <c r="C189" s="517"/>
      <c r="D189" s="517"/>
      <c r="E189" s="517"/>
      <c r="F189" s="517"/>
      <c r="G189" s="517"/>
      <c r="H189" s="517"/>
      <c r="I189" s="517"/>
      <c r="J189" s="517"/>
      <c r="K189" s="517"/>
      <c r="L189" s="517"/>
      <c r="M189" s="517"/>
      <c r="N189" s="517"/>
      <c r="O189" s="517"/>
      <c r="P189" s="517"/>
      <c r="Q189" s="517"/>
      <c r="R189" s="517"/>
      <c r="S189" s="517"/>
      <c r="T189" s="517"/>
      <c r="U189" s="517"/>
      <c r="V189" s="517"/>
      <c r="W189" s="517"/>
      <c r="X189" s="517"/>
      <c r="Y189" s="517"/>
      <c r="Z189" s="517"/>
      <c r="AA189" s="517"/>
      <c r="AB189" s="517"/>
      <c r="AC189" s="517"/>
      <c r="AD189" s="517"/>
      <c r="AE189" s="517"/>
      <c r="AF189" s="517"/>
      <c r="AG189" s="517"/>
    </row>
    <row r="190" spans="2:33">
      <c r="B190" s="517"/>
      <c r="C190" s="517"/>
      <c r="D190" s="517"/>
      <c r="E190" s="517"/>
      <c r="F190" s="517"/>
      <c r="G190" s="517"/>
      <c r="H190" s="517"/>
      <c r="I190" s="517"/>
      <c r="J190" s="517"/>
      <c r="K190" s="517"/>
      <c r="L190" s="517"/>
      <c r="M190" s="517"/>
      <c r="N190" s="517"/>
      <c r="O190" s="517"/>
      <c r="P190" s="517"/>
      <c r="Q190" s="517"/>
      <c r="R190" s="517"/>
      <c r="S190" s="517"/>
      <c r="T190" s="517"/>
      <c r="U190" s="517"/>
      <c r="V190" s="517"/>
      <c r="W190" s="517"/>
      <c r="X190" s="517"/>
      <c r="Y190" s="517"/>
      <c r="Z190" s="517"/>
      <c r="AA190" s="517"/>
      <c r="AB190" s="517"/>
      <c r="AC190" s="517"/>
      <c r="AD190" s="517"/>
      <c r="AE190" s="517"/>
      <c r="AF190" s="517"/>
      <c r="AG190" s="517"/>
    </row>
    <row r="191" spans="2:33">
      <c r="B191" s="517"/>
      <c r="C191" s="517"/>
      <c r="D191" s="517"/>
      <c r="E191" s="517"/>
      <c r="F191" s="517"/>
      <c r="G191" s="517"/>
      <c r="H191" s="517"/>
      <c r="I191" s="517"/>
      <c r="J191" s="517"/>
      <c r="K191" s="517"/>
      <c r="L191" s="517"/>
      <c r="M191" s="517"/>
      <c r="N191" s="517"/>
      <c r="O191" s="517"/>
      <c r="P191" s="517"/>
      <c r="Q191" s="517"/>
      <c r="R191" s="517"/>
      <c r="S191" s="517"/>
      <c r="T191" s="517"/>
      <c r="U191" s="517"/>
      <c r="V191" s="517"/>
      <c r="W191" s="517"/>
      <c r="X191" s="517"/>
      <c r="Y191" s="517"/>
      <c r="Z191" s="517"/>
      <c r="AA191" s="517"/>
      <c r="AB191" s="517"/>
      <c r="AC191" s="517"/>
      <c r="AD191" s="517"/>
      <c r="AE191" s="517"/>
      <c r="AF191" s="517"/>
      <c r="AG191" s="517"/>
    </row>
    <row r="192" spans="2:33">
      <c r="B192" s="517"/>
      <c r="C192" s="517"/>
      <c r="D192" s="517"/>
      <c r="E192" s="517"/>
      <c r="F192" s="517"/>
      <c r="G192" s="517"/>
      <c r="H192" s="517"/>
      <c r="I192" s="517"/>
      <c r="J192" s="517"/>
      <c r="K192" s="517"/>
      <c r="L192" s="517"/>
      <c r="M192" s="517"/>
      <c r="N192" s="517"/>
      <c r="O192" s="517"/>
      <c r="P192" s="517"/>
      <c r="Q192" s="517"/>
      <c r="R192" s="517"/>
      <c r="S192" s="517"/>
      <c r="T192" s="517"/>
      <c r="U192" s="517"/>
      <c r="V192" s="517"/>
      <c r="W192" s="517"/>
      <c r="X192" s="517"/>
      <c r="Y192" s="517"/>
      <c r="Z192" s="517"/>
      <c r="AA192" s="517"/>
      <c r="AB192" s="517"/>
      <c r="AC192" s="517"/>
      <c r="AD192" s="517"/>
      <c r="AE192" s="517"/>
      <c r="AF192" s="517"/>
      <c r="AG192" s="517"/>
    </row>
    <row r="193" spans="2:33">
      <c r="B193" s="517"/>
      <c r="C193" s="517"/>
      <c r="D193" s="517"/>
      <c r="E193" s="517"/>
      <c r="F193" s="517"/>
      <c r="G193" s="517"/>
      <c r="H193" s="517"/>
      <c r="I193" s="517"/>
      <c r="J193" s="517"/>
      <c r="K193" s="517"/>
      <c r="L193" s="517"/>
      <c r="M193" s="517"/>
      <c r="N193" s="517"/>
      <c r="O193" s="517"/>
      <c r="P193" s="517"/>
      <c r="Q193" s="517"/>
      <c r="R193" s="517"/>
      <c r="S193" s="517"/>
      <c r="T193" s="517"/>
      <c r="U193" s="517"/>
      <c r="V193" s="517"/>
      <c r="W193" s="517"/>
      <c r="X193" s="517"/>
      <c r="Y193" s="517"/>
      <c r="Z193" s="517"/>
      <c r="AA193" s="517"/>
      <c r="AB193" s="517"/>
      <c r="AC193" s="517"/>
      <c r="AD193" s="517"/>
      <c r="AE193" s="517"/>
      <c r="AF193" s="517"/>
      <c r="AG193" s="517"/>
    </row>
    <row r="194" spans="2:33">
      <c r="B194" s="517"/>
      <c r="C194" s="517"/>
      <c r="D194" s="517"/>
      <c r="E194" s="517"/>
      <c r="F194" s="517"/>
      <c r="G194" s="517"/>
      <c r="H194" s="517"/>
      <c r="I194" s="517"/>
      <c r="J194" s="517"/>
      <c r="K194" s="517"/>
      <c r="L194" s="517"/>
      <c r="M194" s="517"/>
      <c r="N194" s="517"/>
      <c r="O194" s="517"/>
      <c r="P194" s="517"/>
      <c r="Q194" s="517"/>
      <c r="R194" s="517"/>
      <c r="S194" s="517"/>
      <c r="T194" s="517"/>
      <c r="U194" s="517"/>
      <c r="V194" s="517"/>
      <c r="W194" s="517"/>
      <c r="X194" s="517"/>
      <c r="Y194" s="517"/>
      <c r="Z194" s="517"/>
      <c r="AA194" s="517"/>
      <c r="AB194" s="517"/>
      <c r="AC194" s="517"/>
      <c r="AD194" s="517"/>
      <c r="AE194" s="517"/>
      <c r="AF194" s="517"/>
      <c r="AG194" s="517"/>
    </row>
    <row r="195" spans="2:33">
      <c r="B195" s="517"/>
      <c r="C195" s="517"/>
      <c r="D195" s="517"/>
      <c r="E195" s="517"/>
      <c r="F195" s="517"/>
      <c r="G195" s="517"/>
      <c r="H195" s="517"/>
      <c r="I195" s="517"/>
      <c r="J195" s="517"/>
      <c r="K195" s="517"/>
      <c r="L195" s="517"/>
      <c r="M195" s="517"/>
      <c r="N195" s="517"/>
      <c r="O195" s="517"/>
      <c r="P195" s="517"/>
      <c r="Q195" s="517"/>
      <c r="R195" s="517"/>
      <c r="S195" s="517"/>
      <c r="T195" s="517"/>
      <c r="U195" s="517"/>
      <c r="V195" s="517"/>
      <c r="W195" s="517"/>
      <c r="X195" s="517"/>
      <c r="Y195" s="517"/>
      <c r="Z195" s="517"/>
      <c r="AA195" s="517"/>
      <c r="AB195" s="517"/>
      <c r="AC195" s="517"/>
      <c r="AD195" s="517"/>
      <c r="AE195" s="517"/>
      <c r="AF195" s="517"/>
      <c r="AG195" s="517"/>
    </row>
    <row r="196" spans="2:33">
      <c r="B196" s="517"/>
      <c r="C196" s="517"/>
      <c r="D196" s="517"/>
      <c r="E196" s="517"/>
      <c r="F196" s="517"/>
      <c r="G196" s="517"/>
      <c r="H196" s="517"/>
      <c r="I196" s="517"/>
      <c r="J196" s="517"/>
      <c r="K196" s="517"/>
      <c r="L196" s="517"/>
      <c r="M196" s="517"/>
      <c r="N196" s="517"/>
      <c r="O196" s="517"/>
      <c r="P196" s="517"/>
      <c r="Q196" s="517"/>
      <c r="R196" s="517"/>
      <c r="S196" s="517"/>
      <c r="T196" s="517"/>
      <c r="U196" s="517"/>
      <c r="V196" s="517"/>
      <c r="W196" s="517"/>
      <c r="X196" s="517"/>
      <c r="Y196" s="517"/>
      <c r="Z196" s="517"/>
      <c r="AA196" s="517"/>
      <c r="AB196" s="517"/>
      <c r="AC196" s="517"/>
      <c r="AD196" s="517"/>
      <c r="AE196" s="517"/>
      <c r="AF196" s="517"/>
      <c r="AG196" s="517"/>
    </row>
    <row r="197" spans="2:33">
      <c r="B197" s="517"/>
      <c r="C197" s="517"/>
      <c r="D197" s="517"/>
      <c r="E197" s="517"/>
      <c r="F197" s="517"/>
      <c r="G197" s="517"/>
      <c r="H197" s="517"/>
      <c r="I197" s="517"/>
      <c r="J197" s="517"/>
      <c r="K197" s="517"/>
      <c r="L197" s="517"/>
      <c r="M197" s="517"/>
      <c r="N197" s="517"/>
      <c r="O197" s="517"/>
      <c r="P197" s="517"/>
      <c r="Q197" s="517"/>
      <c r="R197" s="517"/>
      <c r="S197" s="517"/>
      <c r="T197" s="517"/>
      <c r="U197" s="517"/>
      <c r="V197" s="517"/>
      <c r="W197" s="517"/>
      <c r="X197" s="517"/>
      <c r="Y197" s="517"/>
      <c r="Z197" s="517"/>
      <c r="AA197" s="517"/>
      <c r="AB197" s="517"/>
      <c r="AC197" s="517"/>
      <c r="AD197" s="517"/>
      <c r="AE197" s="517"/>
      <c r="AF197" s="517"/>
      <c r="AG197" s="517"/>
    </row>
    <row r="198" spans="2:33">
      <c r="B198" s="517"/>
      <c r="C198" s="517"/>
      <c r="D198" s="517"/>
      <c r="E198" s="517"/>
      <c r="F198" s="517"/>
      <c r="G198" s="517"/>
      <c r="H198" s="517"/>
      <c r="I198" s="517"/>
      <c r="J198" s="517"/>
      <c r="K198" s="517"/>
      <c r="L198" s="517"/>
      <c r="M198" s="517"/>
      <c r="N198" s="517"/>
      <c r="O198" s="517"/>
      <c r="P198" s="517"/>
      <c r="Q198" s="517"/>
      <c r="R198" s="517"/>
      <c r="S198" s="517"/>
      <c r="T198" s="517"/>
      <c r="U198" s="517"/>
      <c r="V198" s="517"/>
      <c r="W198" s="517"/>
      <c r="X198" s="517"/>
      <c r="Y198" s="517"/>
      <c r="Z198" s="517"/>
      <c r="AA198" s="517"/>
      <c r="AB198" s="517"/>
      <c r="AC198" s="517"/>
      <c r="AD198" s="517"/>
      <c r="AE198" s="517"/>
      <c r="AF198" s="517"/>
      <c r="AG198" s="517"/>
    </row>
    <row r="199" spans="2:33">
      <c r="B199" s="517"/>
      <c r="C199" s="517"/>
      <c r="D199" s="517"/>
      <c r="E199" s="517"/>
      <c r="F199" s="517"/>
      <c r="G199" s="517"/>
      <c r="H199" s="517"/>
      <c r="I199" s="517"/>
      <c r="J199" s="517"/>
      <c r="K199" s="517"/>
      <c r="L199" s="517"/>
      <c r="M199" s="517"/>
      <c r="N199" s="517"/>
      <c r="O199" s="517"/>
      <c r="P199" s="517"/>
      <c r="Q199" s="517"/>
      <c r="R199" s="517"/>
      <c r="S199" s="517"/>
      <c r="T199" s="517"/>
      <c r="U199" s="517"/>
      <c r="V199" s="517"/>
      <c r="W199" s="517"/>
      <c r="X199" s="517"/>
      <c r="Y199" s="517"/>
      <c r="Z199" s="517"/>
      <c r="AA199" s="517"/>
      <c r="AB199" s="517"/>
      <c r="AC199" s="517"/>
      <c r="AD199" s="517"/>
      <c r="AE199" s="517"/>
      <c r="AF199" s="517"/>
      <c r="AG199" s="517"/>
    </row>
    <row r="200" spans="2:33">
      <c r="B200" s="517"/>
      <c r="C200" s="517"/>
      <c r="D200" s="517"/>
      <c r="E200" s="517"/>
      <c r="F200" s="517"/>
      <c r="G200" s="517"/>
      <c r="H200" s="517"/>
      <c r="I200" s="517"/>
      <c r="J200" s="517"/>
      <c r="K200" s="517"/>
      <c r="L200" s="517"/>
      <c r="M200" s="517"/>
      <c r="N200" s="517"/>
      <c r="O200" s="517"/>
      <c r="P200" s="517"/>
      <c r="Q200" s="517"/>
      <c r="R200" s="517"/>
      <c r="S200" s="517"/>
      <c r="T200" s="517"/>
      <c r="U200" s="517"/>
      <c r="V200" s="517"/>
      <c r="W200" s="517"/>
      <c r="X200" s="517"/>
      <c r="Y200" s="517"/>
      <c r="Z200" s="517"/>
      <c r="AA200" s="517"/>
      <c r="AB200" s="517"/>
      <c r="AC200" s="517"/>
      <c r="AD200" s="517"/>
      <c r="AE200" s="517"/>
      <c r="AF200" s="517"/>
      <c r="AG200" s="517"/>
    </row>
    <row r="201" spans="2:33">
      <c r="B201" s="517"/>
      <c r="C201" s="517"/>
      <c r="D201" s="517"/>
      <c r="E201" s="517"/>
      <c r="F201" s="517"/>
      <c r="G201" s="517"/>
      <c r="H201" s="517"/>
      <c r="I201" s="517"/>
      <c r="J201" s="517"/>
      <c r="K201" s="517"/>
      <c r="L201" s="517"/>
      <c r="M201" s="517"/>
      <c r="N201" s="517"/>
      <c r="O201" s="517"/>
      <c r="P201" s="517"/>
      <c r="Q201" s="517"/>
      <c r="R201" s="517"/>
      <c r="S201" s="517"/>
      <c r="T201" s="517"/>
      <c r="U201" s="517"/>
      <c r="V201" s="517"/>
      <c r="W201" s="517"/>
      <c r="X201" s="517"/>
      <c r="Y201" s="517"/>
      <c r="Z201" s="517"/>
      <c r="AA201" s="517"/>
      <c r="AB201" s="517"/>
      <c r="AC201" s="517"/>
      <c r="AD201" s="517"/>
      <c r="AE201" s="517"/>
      <c r="AF201" s="517"/>
      <c r="AG201" s="517"/>
    </row>
    <row r="202" spans="2:33">
      <c r="B202" s="517"/>
      <c r="C202" s="517"/>
      <c r="D202" s="517"/>
      <c r="E202" s="517"/>
      <c r="F202" s="517"/>
      <c r="G202" s="517"/>
      <c r="H202" s="517"/>
      <c r="I202" s="517"/>
      <c r="J202" s="517"/>
      <c r="K202" s="517"/>
      <c r="L202" s="517"/>
      <c r="M202" s="517"/>
      <c r="N202" s="517"/>
      <c r="O202" s="517"/>
      <c r="P202" s="517"/>
      <c r="Q202" s="517"/>
      <c r="R202" s="517"/>
      <c r="S202" s="517"/>
      <c r="T202" s="517"/>
      <c r="U202" s="517"/>
      <c r="V202" s="517"/>
      <c r="W202" s="517"/>
      <c r="X202" s="517"/>
      <c r="Y202" s="517"/>
      <c r="Z202" s="517"/>
      <c r="AA202" s="517"/>
      <c r="AB202" s="517"/>
      <c r="AC202" s="517"/>
      <c r="AD202" s="517"/>
      <c r="AE202" s="517"/>
      <c r="AF202" s="517"/>
      <c r="AG202" s="517"/>
    </row>
    <row r="203" spans="2:33">
      <c r="B203" s="517"/>
      <c r="C203" s="517"/>
      <c r="D203" s="517"/>
      <c r="E203" s="517"/>
      <c r="F203" s="517"/>
      <c r="G203" s="517"/>
      <c r="H203" s="517"/>
      <c r="I203" s="517"/>
      <c r="J203" s="517"/>
      <c r="K203" s="517"/>
      <c r="L203" s="517"/>
      <c r="M203" s="517"/>
      <c r="N203" s="517"/>
      <c r="O203" s="517"/>
      <c r="P203" s="517"/>
      <c r="Q203" s="517"/>
      <c r="R203" s="517"/>
      <c r="S203" s="517"/>
      <c r="T203" s="517"/>
      <c r="U203" s="517"/>
      <c r="V203" s="517"/>
      <c r="W203" s="517"/>
      <c r="X203" s="517"/>
      <c r="Y203" s="517"/>
      <c r="Z203" s="517"/>
      <c r="AA203" s="517"/>
      <c r="AB203" s="517"/>
      <c r="AC203" s="517"/>
      <c r="AD203" s="517"/>
      <c r="AE203" s="517"/>
      <c r="AF203" s="517"/>
      <c r="AG203" s="517"/>
    </row>
    <row r="204" spans="2:33">
      <c r="B204" s="517"/>
      <c r="C204" s="517"/>
      <c r="D204" s="517"/>
      <c r="E204" s="517"/>
      <c r="F204" s="517"/>
      <c r="G204" s="517"/>
      <c r="H204" s="517"/>
      <c r="I204" s="517"/>
      <c r="J204" s="517"/>
      <c r="K204" s="517"/>
      <c r="L204" s="517"/>
      <c r="M204" s="517"/>
      <c r="N204" s="517"/>
      <c r="O204" s="517"/>
      <c r="P204" s="517"/>
      <c r="Q204" s="517"/>
      <c r="R204" s="517"/>
      <c r="S204" s="517"/>
      <c r="T204" s="517"/>
      <c r="U204" s="517"/>
      <c r="V204" s="517"/>
      <c r="W204" s="517"/>
      <c r="X204" s="517"/>
      <c r="Y204" s="517"/>
      <c r="Z204" s="517"/>
      <c r="AA204" s="517"/>
      <c r="AB204" s="517"/>
      <c r="AC204" s="517"/>
      <c r="AD204" s="517"/>
      <c r="AE204" s="517"/>
      <c r="AF204" s="517"/>
      <c r="AG204" s="517"/>
    </row>
    <row r="205" spans="2:33">
      <c r="B205" s="517"/>
      <c r="C205" s="517"/>
      <c r="D205" s="517"/>
      <c r="E205" s="517"/>
      <c r="F205" s="517"/>
      <c r="G205" s="517"/>
      <c r="H205" s="517"/>
      <c r="I205" s="517"/>
      <c r="J205" s="517"/>
      <c r="K205" s="517"/>
      <c r="L205" s="517"/>
      <c r="M205" s="517"/>
      <c r="N205" s="517"/>
      <c r="O205" s="517"/>
      <c r="P205" s="517"/>
      <c r="Q205" s="517"/>
      <c r="R205" s="517"/>
      <c r="S205" s="517"/>
      <c r="T205" s="517"/>
      <c r="U205" s="517"/>
      <c r="V205" s="517"/>
      <c r="W205" s="517"/>
      <c r="X205" s="517"/>
      <c r="Y205" s="517"/>
      <c r="Z205" s="517"/>
      <c r="AA205" s="517"/>
      <c r="AB205" s="517"/>
      <c r="AC205" s="517"/>
      <c r="AD205" s="517"/>
      <c r="AE205" s="517"/>
      <c r="AF205" s="517"/>
      <c r="AG205" s="517"/>
    </row>
    <row r="206" spans="2:33">
      <c r="B206" s="517"/>
      <c r="C206" s="517"/>
      <c r="D206" s="517"/>
      <c r="E206" s="517"/>
      <c r="F206" s="517"/>
      <c r="G206" s="517"/>
      <c r="H206" s="517"/>
      <c r="I206" s="517"/>
      <c r="J206" s="517"/>
      <c r="K206" s="517"/>
      <c r="L206" s="517"/>
      <c r="M206" s="517"/>
      <c r="N206" s="517"/>
      <c r="O206" s="517"/>
      <c r="P206" s="517"/>
      <c r="Q206" s="517"/>
      <c r="R206" s="517"/>
      <c r="S206" s="517"/>
      <c r="T206" s="517"/>
      <c r="U206" s="517"/>
      <c r="V206" s="517"/>
      <c r="W206" s="517"/>
      <c r="X206" s="517"/>
      <c r="Y206" s="517"/>
      <c r="Z206" s="517"/>
      <c r="AA206" s="517"/>
      <c r="AB206" s="517"/>
      <c r="AC206" s="517"/>
      <c r="AD206" s="517"/>
      <c r="AE206" s="517"/>
      <c r="AF206" s="517"/>
      <c r="AG206" s="517"/>
    </row>
    <row r="207" spans="2:33">
      <c r="B207" s="517"/>
      <c r="C207" s="517"/>
      <c r="D207" s="517"/>
      <c r="E207" s="517"/>
      <c r="F207" s="517"/>
      <c r="G207" s="517"/>
      <c r="H207" s="517"/>
      <c r="I207" s="517"/>
      <c r="J207" s="517"/>
      <c r="K207" s="517"/>
      <c r="L207" s="517"/>
      <c r="M207" s="517"/>
      <c r="N207" s="517"/>
      <c r="O207" s="517"/>
      <c r="P207" s="517"/>
      <c r="Q207" s="517"/>
      <c r="R207" s="517"/>
      <c r="S207" s="517"/>
      <c r="T207" s="517"/>
      <c r="U207" s="517"/>
      <c r="V207" s="517"/>
      <c r="W207" s="517"/>
      <c r="X207" s="517"/>
      <c r="Y207" s="517"/>
      <c r="Z207" s="517"/>
      <c r="AA207" s="517"/>
      <c r="AB207" s="517"/>
      <c r="AC207" s="517"/>
      <c r="AD207" s="517"/>
      <c r="AE207" s="517"/>
      <c r="AF207" s="517"/>
      <c r="AG207" s="517"/>
    </row>
    <row r="208" spans="2:33">
      <c r="B208" s="517"/>
      <c r="C208" s="517"/>
      <c r="D208" s="517"/>
      <c r="E208" s="517"/>
      <c r="F208" s="517"/>
      <c r="G208" s="517"/>
      <c r="H208" s="517"/>
      <c r="I208" s="517"/>
      <c r="J208" s="517"/>
      <c r="K208" s="517"/>
      <c r="L208" s="517"/>
      <c r="M208" s="517"/>
      <c r="N208" s="517"/>
      <c r="O208" s="517"/>
      <c r="P208" s="517"/>
      <c r="Q208" s="517"/>
      <c r="R208" s="517"/>
      <c r="S208" s="517"/>
      <c r="T208" s="517"/>
      <c r="U208" s="517"/>
      <c r="V208" s="517"/>
      <c r="W208" s="517"/>
      <c r="X208" s="517"/>
      <c r="Y208" s="517"/>
      <c r="Z208" s="517"/>
      <c r="AA208" s="517"/>
      <c r="AB208" s="517"/>
      <c r="AC208" s="517"/>
      <c r="AD208" s="517"/>
      <c r="AE208" s="517"/>
      <c r="AF208" s="517"/>
      <c r="AG208" s="517"/>
    </row>
    <row r="209" spans="2:33">
      <c r="B209" s="517"/>
      <c r="C209" s="517"/>
      <c r="D209" s="517"/>
      <c r="E209" s="517"/>
      <c r="F209" s="517"/>
      <c r="G209" s="517"/>
      <c r="H209" s="517"/>
      <c r="I209" s="517"/>
      <c r="J209" s="517"/>
      <c r="K209" s="517"/>
      <c r="L209" s="517"/>
      <c r="M209" s="517"/>
      <c r="N209" s="517"/>
      <c r="O209" s="517"/>
      <c r="P209" s="517"/>
      <c r="Q209" s="517"/>
      <c r="R209" s="517"/>
      <c r="S209" s="517"/>
      <c r="T209" s="517"/>
      <c r="U209" s="517"/>
      <c r="V209" s="517"/>
      <c r="W209" s="517"/>
      <c r="X209" s="517"/>
      <c r="Y209" s="517"/>
      <c r="Z209" s="517"/>
      <c r="AA209" s="517"/>
      <c r="AB209" s="517"/>
      <c r="AC209" s="517"/>
      <c r="AD209" s="517"/>
      <c r="AE209" s="517"/>
      <c r="AF209" s="517"/>
      <c r="AG209" s="517"/>
    </row>
    <row r="210" spans="2:33">
      <c r="B210" s="517"/>
      <c r="C210" s="517"/>
      <c r="D210" s="517"/>
      <c r="E210" s="517"/>
      <c r="F210" s="517"/>
      <c r="G210" s="517"/>
      <c r="H210" s="517"/>
      <c r="I210" s="517"/>
      <c r="J210" s="517"/>
      <c r="K210" s="517"/>
      <c r="L210" s="517"/>
      <c r="M210" s="517"/>
      <c r="N210" s="517"/>
      <c r="O210" s="517"/>
      <c r="P210" s="517"/>
      <c r="Q210" s="517"/>
      <c r="R210" s="517"/>
      <c r="S210" s="517"/>
      <c r="T210" s="517"/>
      <c r="U210" s="517"/>
      <c r="V210" s="517"/>
      <c r="W210" s="517"/>
      <c r="X210" s="517"/>
      <c r="Y210" s="517"/>
      <c r="Z210" s="517"/>
      <c r="AA210" s="517"/>
      <c r="AB210" s="517"/>
      <c r="AC210" s="517"/>
      <c r="AD210" s="517"/>
      <c r="AE210" s="517"/>
      <c r="AF210" s="517"/>
      <c r="AG210" s="517"/>
    </row>
    <row r="211" spans="2:33">
      <c r="B211" s="517"/>
      <c r="C211" s="517"/>
      <c r="D211" s="517"/>
      <c r="E211" s="517"/>
      <c r="F211" s="517"/>
      <c r="G211" s="517"/>
      <c r="H211" s="517"/>
      <c r="I211" s="517"/>
      <c r="J211" s="517"/>
      <c r="K211" s="517"/>
      <c r="L211" s="517"/>
      <c r="M211" s="517"/>
      <c r="N211" s="517"/>
      <c r="O211" s="517"/>
      <c r="P211" s="517"/>
      <c r="Q211" s="517"/>
      <c r="R211" s="517"/>
      <c r="S211" s="517"/>
      <c r="T211" s="517"/>
      <c r="U211" s="517"/>
      <c r="V211" s="517"/>
      <c r="W211" s="517"/>
      <c r="X211" s="517"/>
      <c r="Y211" s="517"/>
      <c r="Z211" s="517"/>
      <c r="AA211" s="517"/>
      <c r="AB211" s="517"/>
      <c r="AC211" s="517"/>
      <c r="AD211" s="517"/>
      <c r="AE211" s="517"/>
      <c r="AF211" s="517"/>
      <c r="AG211" s="517"/>
    </row>
    <row r="212" spans="2:33">
      <c r="B212" s="517"/>
      <c r="C212" s="517"/>
      <c r="D212" s="517"/>
      <c r="E212" s="517"/>
      <c r="F212" s="517"/>
      <c r="G212" s="517"/>
      <c r="H212" s="517"/>
      <c r="I212" s="517"/>
      <c r="J212" s="517"/>
      <c r="K212" s="517"/>
      <c r="L212" s="517"/>
      <c r="M212" s="517"/>
      <c r="N212" s="517"/>
      <c r="O212" s="517"/>
      <c r="P212" s="517"/>
      <c r="Q212" s="517"/>
      <c r="R212" s="517"/>
      <c r="S212" s="517"/>
      <c r="T212" s="517"/>
      <c r="U212" s="517"/>
      <c r="V212" s="517"/>
      <c r="W212" s="517"/>
      <c r="X212" s="517"/>
      <c r="Y212" s="517"/>
      <c r="Z212" s="517"/>
      <c r="AA212" s="517"/>
      <c r="AB212" s="517"/>
      <c r="AC212" s="517"/>
      <c r="AD212" s="517"/>
      <c r="AE212" s="517"/>
      <c r="AF212" s="517"/>
      <c r="AG212" s="517"/>
    </row>
    <row r="213" spans="2:33">
      <c r="B213" s="517"/>
      <c r="C213" s="517"/>
      <c r="D213" s="517"/>
      <c r="E213" s="517"/>
      <c r="F213" s="517"/>
      <c r="G213" s="517"/>
      <c r="H213" s="517"/>
      <c r="I213" s="517"/>
      <c r="J213" s="517"/>
      <c r="K213" s="517"/>
      <c r="L213" s="517"/>
      <c r="M213" s="517"/>
      <c r="N213" s="517"/>
      <c r="O213" s="517"/>
      <c r="P213" s="517"/>
      <c r="Q213" s="517"/>
      <c r="R213" s="517"/>
      <c r="S213" s="517"/>
      <c r="T213" s="517"/>
      <c r="U213" s="517"/>
      <c r="V213" s="517"/>
      <c r="W213" s="517"/>
      <c r="X213" s="517"/>
      <c r="Y213" s="517"/>
      <c r="Z213" s="517"/>
      <c r="AA213" s="517"/>
      <c r="AB213" s="517"/>
      <c r="AC213" s="517"/>
      <c r="AD213" s="517"/>
      <c r="AE213" s="517"/>
      <c r="AF213" s="517"/>
      <c r="AG213" s="517"/>
    </row>
    <row r="214" spans="2:33">
      <c r="B214" s="517"/>
      <c r="C214" s="517"/>
      <c r="D214" s="517"/>
      <c r="E214" s="517"/>
      <c r="F214" s="517"/>
      <c r="G214" s="517"/>
      <c r="H214" s="517"/>
      <c r="I214" s="517"/>
      <c r="J214" s="517"/>
      <c r="K214" s="517"/>
      <c r="L214" s="517"/>
      <c r="M214" s="517"/>
      <c r="N214" s="517"/>
      <c r="O214" s="517"/>
      <c r="P214" s="517"/>
      <c r="Q214" s="517"/>
      <c r="R214" s="517"/>
      <c r="S214" s="517"/>
      <c r="T214" s="517"/>
      <c r="U214" s="517"/>
      <c r="V214" s="517"/>
      <c r="W214" s="517"/>
      <c r="X214" s="517"/>
      <c r="Y214" s="517"/>
      <c r="Z214" s="517"/>
      <c r="AA214" s="517"/>
      <c r="AB214" s="517"/>
      <c r="AC214" s="517"/>
      <c r="AD214" s="517"/>
      <c r="AE214" s="517"/>
      <c r="AF214" s="517"/>
      <c r="AG214" s="517"/>
    </row>
    <row r="215" spans="2:33">
      <c r="B215" s="517"/>
      <c r="C215" s="517"/>
      <c r="D215" s="517"/>
      <c r="E215" s="517"/>
      <c r="F215" s="517"/>
      <c r="G215" s="517"/>
      <c r="H215" s="517"/>
      <c r="I215" s="517"/>
      <c r="J215" s="517"/>
      <c r="K215" s="517"/>
      <c r="L215" s="517"/>
      <c r="M215" s="517"/>
      <c r="N215" s="517"/>
      <c r="O215" s="517"/>
      <c r="P215" s="517"/>
      <c r="Q215" s="517"/>
      <c r="R215" s="517"/>
      <c r="S215" s="517"/>
      <c r="T215" s="517"/>
      <c r="U215" s="517"/>
      <c r="V215" s="517"/>
      <c r="W215" s="517"/>
      <c r="X215" s="517"/>
      <c r="Y215" s="517"/>
      <c r="Z215" s="517"/>
      <c r="AA215" s="517"/>
      <c r="AB215" s="517"/>
      <c r="AC215" s="517"/>
      <c r="AD215" s="517"/>
      <c r="AE215" s="517"/>
      <c r="AF215" s="517"/>
      <c r="AG215" s="517"/>
    </row>
    <row r="216" spans="2:33">
      <c r="B216" s="517"/>
      <c r="C216" s="517"/>
      <c r="D216" s="517"/>
      <c r="E216" s="517"/>
      <c r="F216" s="517"/>
      <c r="G216" s="517"/>
      <c r="H216" s="517"/>
      <c r="I216" s="517"/>
      <c r="J216" s="517"/>
      <c r="K216" s="517"/>
      <c r="L216" s="517"/>
      <c r="M216" s="517"/>
      <c r="N216" s="517"/>
      <c r="O216" s="517"/>
      <c r="P216" s="517"/>
      <c r="Q216" s="517"/>
      <c r="R216" s="517"/>
      <c r="S216" s="517"/>
      <c r="T216" s="517"/>
      <c r="U216" s="517"/>
      <c r="V216" s="517"/>
      <c r="W216" s="517"/>
      <c r="X216" s="517"/>
      <c r="Y216" s="517"/>
      <c r="Z216" s="517"/>
      <c r="AA216" s="517"/>
      <c r="AB216" s="517"/>
      <c r="AC216" s="517"/>
      <c r="AD216" s="517"/>
      <c r="AE216" s="517"/>
      <c r="AF216" s="517"/>
      <c r="AG216" s="517"/>
    </row>
    <row r="217" spans="2:33">
      <c r="B217" s="517"/>
      <c r="C217" s="517"/>
      <c r="D217" s="517"/>
      <c r="E217" s="517"/>
      <c r="F217" s="517"/>
      <c r="G217" s="517"/>
      <c r="H217" s="517"/>
      <c r="I217" s="517"/>
      <c r="J217" s="517"/>
      <c r="K217" s="517"/>
      <c r="L217" s="517"/>
      <c r="M217" s="517"/>
      <c r="N217" s="517"/>
      <c r="O217" s="517"/>
      <c r="P217" s="517"/>
      <c r="Q217" s="517"/>
      <c r="R217" s="517"/>
      <c r="S217" s="517"/>
      <c r="T217" s="517"/>
      <c r="U217" s="517"/>
      <c r="V217" s="517"/>
      <c r="W217" s="517"/>
      <c r="X217" s="517"/>
      <c r="Y217" s="517"/>
      <c r="Z217" s="517"/>
      <c r="AA217" s="517"/>
      <c r="AB217" s="517"/>
      <c r="AC217" s="517"/>
      <c r="AD217" s="517"/>
      <c r="AE217" s="517"/>
      <c r="AF217" s="517"/>
      <c r="AG217" s="517"/>
    </row>
    <row r="218" spans="2:33">
      <c r="B218" s="517"/>
      <c r="C218" s="517"/>
      <c r="D218" s="517"/>
      <c r="E218" s="517"/>
      <c r="F218" s="517"/>
      <c r="G218" s="517"/>
      <c r="H218" s="517"/>
      <c r="I218" s="517"/>
      <c r="J218" s="517"/>
      <c r="K218" s="517"/>
      <c r="L218" s="517"/>
      <c r="M218" s="517"/>
      <c r="N218" s="517"/>
      <c r="O218" s="517"/>
      <c r="P218" s="517"/>
      <c r="Q218" s="517"/>
      <c r="R218" s="517"/>
      <c r="S218" s="517"/>
      <c r="T218" s="517"/>
      <c r="U218" s="517"/>
      <c r="V218" s="517"/>
      <c r="W218" s="517"/>
      <c r="X218" s="517"/>
      <c r="Y218" s="517"/>
      <c r="Z218" s="517"/>
      <c r="AA218" s="517"/>
      <c r="AB218" s="517"/>
      <c r="AC218" s="517"/>
      <c r="AD218" s="517"/>
      <c r="AE218" s="517"/>
      <c r="AF218" s="517"/>
      <c r="AG218" s="517"/>
    </row>
    <row r="219" spans="2:33">
      <c r="B219" s="517"/>
      <c r="C219" s="517"/>
      <c r="D219" s="517"/>
      <c r="E219" s="517"/>
      <c r="F219" s="517"/>
      <c r="G219" s="517"/>
      <c r="H219" s="517"/>
      <c r="I219" s="517"/>
      <c r="J219" s="517"/>
      <c r="K219" s="517"/>
      <c r="L219" s="517"/>
      <c r="M219" s="517"/>
      <c r="N219" s="517"/>
      <c r="O219" s="517"/>
      <c r="P219" s="517"/>
      <c r="Q219" s="517"/>
      <c r="R219" s="517"/>
      <c r="S219" s="517"/>
      <c r="T219" s="517"/>
      <c r="U219" s="517"/>
      <c r="V219" s="517"/>
      <c r="W219" s="517"/>
      <c r="X219" s="517"/>
      <c r="Y219" s="517"/>
      <c r="Z219" s="517"/>
      <c r="AA219" s="517"/>
      <c r="AB219" s="517"/>
      <c r="AC219" s="517"/>
      <c r="AD219" s="517"/>
      <c r="AE219" s="517"/>
      <c r="AF219" s="517"/>
      <c r="AG219" s="517"/>
    </row>
    <row r="220" spans="2:33">
      <c r="B220" s="517"/>
      <c r="C220" s="517"/>
      <c r="D220" s="517"/>
      <c r="E220" s="517"/>
      <c r="F220" s="517"/>
      <c r="G220" s="517"/>
      <c r="H220" s="517"/>
      <c r="I220" s="517"/>
      <c r="J220" s="517"/>
      <c r="K220" s="517"/>
      <c r="L220" s="517"/>
      <c r="M220" s="517"/>
      <c r="N220" s="517"/>
      <c r="O220" s="517"/>
      <c r="P220" s="517"/>
      <c r="Q220" s="517"/>
      <c r="R220" s="517"/>
      <c r="S220" s="517"/>
      <c r="T220" s="517"/>
      <c r="U220" s="517"/>
      <c r="V220" s="517"/>
      <c r="W220" s="517"/>
      <c r="X220" s="517"/>
      <c r="Y220" s="517"/>
      <c r="Z220" s="517"/>
      <c r="AA220" s="517"/>
      <c r="AB220" s="517"/>
      <c r="AC220" s="517"/>
      <c r="AD220" s="517"/>
      <c r="AE220" s="517"/>
      <c r="AF220" s="517"/>
      <c r="AG220" s="517"/>
    </row>
    <row r="221" spans="2:33">
      <c r="B221" s="517"/>
      <c r="C221" s="517"/>
      <c r="D221" s="517"/>
      <c r="E221" s="517"/>
      <c r="F221" s="517"/>
      <c r="G221" s="517"/>
      <c r="H221" s="517"/>
      <c r="I221" s="517"/>
      <c r="J221" s="517"/>
      <c r="K221" s="517"/>
      <c r="L221" s="517"/>
      <c r="M221" s="517"/>
      <c r="N221" s="517"/>
      <c r="O221" s="517"/>
      <c r="P221" s="517"/>
      <c r="Q221" s="517"/>
      <c r="R221" s="517"/>
      <c r="S221" s="517"/>
      <c r="T221" s="517"/>
      <c r="U221" s="517"/>
      <c r="V221" s="517"/>
      <c r="W221" s="517"/>
      <c r="X221" s="517"/>
      <c r="Y221" s="517"/>
      <c r="Z221" s="517"/>
      <c r="AA221" s="517"/>
      <c r="AB221" s="517"/>
      <c r="AC221" s="517"/>
      <c r="AD221" s="517"/>
      <c r="AE221" s="517"/>
      <c r="AF221" s="517"/>
      <c r="AG221" s="517"/>
    </row>
    <row r="222" spans="2:33">
      <c r="B222" s="517"/>
      <c r="C222" s="517"/>
      <c r="D222" s="517"/>
      <c r="E222" s="517"/>
      <c r="F222" s="517"/>
      <c r="G222" s="517"/>
      <c r="H222" s="517"/>
      <c r="I222" s="517"/>
      <c r="J222" s="517"/>
      <c r="K222" s="517"/>
      <c r="L222" s="517"/>
      <c r="M222" s="517"/>
      <c r="N222" s="517"/>
      <c r="O222" s="517"/>
      <c r="P222" s="517"/>
      <c r="Q222" s="517"/>
      <c r="R222" s="517"/>
      <c r="S222" s="517"/>
      <c r="T222" s="517"/>
      <c r="U222" s="517"/>
      <c r="V222" s="517"/>
      <c r="W222" s="517"/>
      <c r="X222" s="517"/>
      <c r="Y222" s="517"/>
      <c r="Z222" s="517"/>
      <c r="AA222" s="517"/>
      <c r="AB222" s="517"/>
      <c r="AC222" s="517"/>
      <c r="AD222" s="517"/>
      <c r="AE222" s="517"/>
      <c r="AF222" s="517"/>
      <c r="AG222" s="517"/>
    </row>
    <row r="223" spans="2:33">
      <c r="B223" s="517"/>
      <c r="C223" s="517"/>
      <c r="D223" s="517"/>
      <c r="E223" s="517"/>
      <c r="F223" s="517"/>
      <c r="G223" s="517"/>
      <c r="H223" s="517"/>
      <c r="I223" s="517"/>
      <c r="J223" s="517"/>
      <c r="K223" s="517"/>
      <c r="L223" s="517"/>
      <c r="M223" s="517"/>
      <c r="N223" s="517"/>
      <c r="O223" s="517"/>
      <c r="P223" s="517"/>
      <c r="Q223" s="517"/>
      <c r="R223" s="517"/>
      <c r="S223" s="517"/>
      <c r="T223" s="517"/>
      <c r="U223" s="517"/>
      <c r="V223" s="517"/>
      <c r="W223" s="517"/>
      <c r="X223" s="517"/>
      <c r="Y223" s="517"/>
      <c r="Z223" s="517"/>
      <c r="AA223" s="517"/>
      <c r="AB223" s="517"/>
      <c r="AC223" s="517"/>
      <c r="AD223" s="517"/>
      <c r="AE223" s="517"/>
      <c r="AF223" s="517"/>
      <c r="AG223" s="517"/>
    </row>
    <row r="224" spans="2:33">
      <c r="B224" s="517"/>
      <c r="C224" s="517"/>
      <c r="D224" s="517"/>
      <c r="E224" s="517"/>
      <c r="F224" s="517"/>
      <c r="G224" s="517"/>
      <c r="H224" s="517"/>
      <c r="I224" s="517"/>
      <c r="J224" s="517"/>
      <c r="K224" s="517"/>
      <c r="L224" s="517"/>
      <c r="M224" s="517"/>
      <c r="N224" s="517"/>
      <c r="O224" s="517"/>
      <c r="P224" s="517"/>
      <c r="Q224" s="517"/>
      <c r="R224" s="517"/>
      <c r="S224" s="517"/>
      <c r="T224" s="517"/>
      <c r="U224" s="517"/>
      <c r="V224" s="517"/>
      <c r="W224" s="517"/>
      <c r="X224" s="517"/>
      <c r="Y224" s="517"/>
      <c r="Z224" s="517"/>
      <c r="AA224" s="517"/>
      <c r="AB224" s="517"/>
      <c r="AC224" s="517"/>
      <c r="AD224" s="517"/>
      <c r="AE224" s="517"/>
      <c r="AF224" s="517"/>
      <c r="AG224" s="517"/>
    </row>
    <row r="225" spans="2:33">
      <c r="B225" s="517"/>
      <c r="C225" s="517"/>
      <c r="D225" s="517"/>
      <c r="E225" s="517"/>
      <c r="F225" s="517"/>
      <c r="G225" s="517"/>
      <c r="H225" s="517"/>
      <c r="I225" s="517"/>
      <c r="J225" s="517"/>
      <c r="K225" s="517"/>
      <c r="L225" s="517"/>
      <c r="M225" s="517"/>
      <c r="N225" s="517"/>
      <c r="O225" s="517"/>
      <c r="P225" s="517"/>
      <c r="Q225" s="517"/>
      <c r="R225" s="517"/>
      <c r="S225" s="517"/>
      <c r="T225" s="517"/>
      <c r="U225" s="517"/>
      <c r="V225" s="517"/>
      <c r="W225" s="517"/>
      <c r="X225" s="517"/>
      <c r="Y225" s="517"/>
      <c r="Z225" s="517"/>
      <c r="AA225" s="517"/>
      <c r="AB225" s="517"/>
      <c r="AC225" s="517"/>
      <c r="AD225" s="517"/>
      <c r="AE225" s="517"/>
      <c r="AF225" s="517"/>
      <c r="AG225" s="517"/>
    </row>
    <row r="226" spans="2:33">
      <c r="B226" s="517"/>
      <c r="C226" s="517"/>
      <c r="D226" s="517"/>
      <c r="E226" s="517"/>
      <c r="F226" s="517"/>
      <c r="G226" s="517"/>
      <c r="H226" s="517"/>
      <c r="I226" s="517"/>
      <c r="J226" s="517"/>
      <c r="K226" s="517"/>
      <c r="L226" s="517"/>
      <c r="M226" s="517"/>
      <c r="N226" s="517"/>
      <c r="O226" s="517"/>
      <c r="P226" s="517"/>
      <c r="Q226" s="517"/>
      <c r="R226" s="517"/>
      <c r="S226" s="517"/>
      <c r="T226" s="517"/>
      <c r="U226" s="517"/>
      <c r="V226" s="517"/>
      <c r="W226" s="517"/>
      <c r="X226" s="517"/>
      <c r="Y226" s="517"/>
      <c r="Z226" s="517"/>
      <c r="AA226" s="517"/>
      <c r="AB226" s="517"/>
      <c r="AC226" s="517"/>
      <c r="AD226" s="517"/>
      <c r="AE226" s="517"/>
      <c r="AF226" s="517"/>
      <c r="AG226" s="517"/>
    </row>
    <row r="227" spans="2:33">
      <c r="B227" s="517"/>
      <c r="C227" s="517"/>
      <c r="D227" s="517"/>
      <c r="E227" s="517"/>
      <c r="F227" s="517"/>
      <c r="G227" s="517"/>
      <c r="H227" s="517"/>
      <c r="I227" s="517"/>
      <c r="J227" s="517"/>
      <c r="K227" s="517"/>
      <c r="L227" s="517"/>
      <c r="M227" s="517"/>
      <c r="N227" s="517"/>
      <c r="O227" s="517"/>
      <c r="P227" s="517"/>
      <c r="Q227" s="517"/>
      <c r="R227" s="517"/>
      <c r="S227" s="517"/>
      <c r="T227" s="517"/>
      <c r="U227" s="517"/>
      <c r="V227" s="517"/>
      <c r="W227" s="517"/>
      <c r="X227" s="517"/>
      <c r="Y227" s="517"/>
      <c r="Z227" s="517"/>
      <c r="AA227" s="517"/>
      <c r="AB227" s="517"/>
      <c r="AC227" s="517"/>
      <c r="AD227" s="517"/>
      <c r="AE227" s="517"/>
      <c r="AF227" s="517"/>
      <c r="AG227" s="517"/>
    </row>
    <row r="228" spans="2:33">
      <c r="B228" s="517"/>
      <c r="C228" s="517"/>
      <c r="D228" s="517"/>
      <c r="E228" s="517"/>
      <c r="F228" s="517"/>
      <c r="G228" s="517"/>
      <c r="H228" s="517"/>
      <c r="I228" s="517"/>
      <c r="J228" s="517"/>
      <c r="K228" s="517"/>
      <c r="L228" s="517"/>
      <c r="M228" s="517"/>
      <c r="N228" s="517"/>
      <c r="O228" s="517"/>
      <c r="P228" s="517"/>
      <c r="Q228" s="517"/>
      <c r="R228" s="517"/>
      <c r="S228" s="517"/>
      <c r="T228" s="517"/>
      <c r="U228" s="517"/>
      <c r="V228" s="517"/>
      <c r="W228" s="517"/>
      <c r="X228" s="517"/>
      <c r="Y228" s="517"/>
      <c r="Z228" s="517"/>
      <c r="AA228" s="517"/>
      <c r="AB228" s="517"/>
      <c r="AC228" s="517"/>
      <c r="AD228" s="517"/>
      <c r="AE228" s="517"/>
      <c r="AF228" s="517"/>
      <c r="AG228" s="517"/>
    </row>
    <row r="229" spans="2:33">
      <c r="B229" s="517"/>
      <c r="C229" s="517"/>
      <c r="D229" s="517"/>
      <c r="E229" s="517"/>
      <c r="F229" s="517"/>
      <c r="G229" s="517"/>
      <c r="H229" s="517"/>
      <c r="I229" s="517"/>
      <c r="J229" s="517"/>
      <c r="K229" s="517"/>
      <c r="L229" s="517"/>
      <c r="M229" s="517"/>
      <c r="N229" s="517"/>
      <c r="O229" s="517"/>
      <c r="P229" s="517"/>
      <c r="Q229" s="517"/>
      <c r="R229" s="517"/>
      <c r="S229" s="517"/>
      <c r="T229" s="517"/>
      <c r="U229" s="517"/>
      <c r="V229" s="517"/>
      <c r="W229" s="517"/>
      <c r="X229" s="517"/>
      <c r="Y229" s="517"/>
      <c r="Z229" s="517"/>
      <c r="AA229" s="517"/>
      <c r="AB229" s="517"/>
      <c r="AC229" s="517"/>
      <c r="AD229" s="517"/>
      <c r="AE229" s="517"/>
      <c r="AF229" s="517"/>
      <c r="AG229" s="517"/>
    </row>
    <row r="230" spans="2:33">
      <c r="B230" s="517"/>
      <c r="C230" s="517"/>
      <c r="D230" s="517"/>
      <c r="E230" s="517"/>
      <c r="F230" s="517"/>
      <c r="G230" s="517"/>
      <c r="H230" s="517"/>
      <c r="I230" s="517"/>
      <c r="J230" s="517"/>
      <c r="K230" s="517"/>
      <c r="L230" s="517"/>
      <c r="M230" s="517"/>
      <c r="N230" s="517"/>
      <c r="O230" s="517"/>
      <c r="P230" s="517"/>
      <c r="Q230" s="517"/>
      <c r="R230" s="517"/>
      <c r="S230" s="517"/>
      <c r="T230" s="517"/>
      <c r="U230" s="517"/>
      <c r="V230" s="517"/>
      <c r="W230" s="517"/>
      <c r="X230" s="517"/>
      <c r="Y230" s="517"/>
      <c r="Z230" s="517"/>
      <c r="AA230" s="517"/>
      <c r="AB230" s="517"/>
      <c r="AC230" s="517"/>
      <c r="AD230" s="517"/>
      <c r="AE230" s="517"/>
      <c r="AF230" s="517"/>
      <c r="AG230" s="517"/>
    </row>
    <row r="231" spans="2:33">
      <c r="B231" s="517"/>
      <c r="C231" s="517"/>
      <c r="D231" s="517"/>
      <c r="E231" s="517"/>
      <c r="F231" s="517"/>
      <c r="G231" s="517"/>
      <c r="H231" s="517"/>
      <c r="I231" s="517"/>
      <c r="J231" s="517"/>
      <c r="K231" s="517"/>
      <c r="L231" s="517"/>
      <c r="M231" s="517"/>
      <c r="N231" s="517"/>
      <c r="O231" s="517"/>
      <c r="P231" s="517"/>
      <c r="Q231" s="517"/>
      <c r="R231" s="517"/>
      <c r="S231" s="517"/>
      <c r="T231" s="517"/>
      <c r="U231" s="517"/>
      <c r="V231" s="517"/>
      <c r="W231" s="517"/>
      <c r="X231" s="517"/>
      <c r="Y231" s="517"/>
      <c r="Z231" s="517"/>
      <c r="AA231" s="517"/>
      <c r="AB231" s="517"/>
      <c r="AC231" s="517"/>
      <c r="AD231" s="517"/>
      <c r="AE231" s="517"/>
      <c r="AF231" s="517"/>
      <c r="AG231" s="517"/>
    </row>
    <row r="232" spans="2:33">
      <c r="B232" s="517"/>
      <c r="C232" s="517"/>
      <c r="D232" s="517"/>
      <c r="E232" s="517"/>
      <c r="F232" s="517"/>
      <c r="G232" s="517"/>
      <c r="H232" s="517"/>
      <c r="I232" s="517"/>
      <c r="J232" s="517"/>
      <c r="K232" s="517"/>
      <c r="L232" s="517"/>
      <c r="M232" s="517"/>
      <c r="N232" s="517"/>
      <c r="O232" s="517"/>
      <c r="P232" s="517"/>
      <c r="Q232" s="517"/>
      <c r="R232" s="517"/>
      <c r="S232" s="517"/>
      <c r="T232" s="517"/>
      <c r="U232" s="517"/>
      <c r="V232" s="517"/>
      <c r="W232" s="517"/>
      <c r="X232" s="517"/>
      <c r="Y232" s="517"/>
      <c r="Z232" s="517"/>
      <c r="AA232" s="517"/>
      <c r="AB232" s="517"/>
      <c r="AC232" s="517"/>
      <c r="AD232" s="517"/>
      <c r="AE232" s="517"/>
      <c r="AF232" s="517"/>
      <c r="AG232" s="517"/>
    </row>
    <row r="233" spans="2:33">
      <c r="B233" s="517"/>
      <c r="C233" s="517"/>
      <c r="D233" s="517"/>
      <c r="E233" s="517"/>
      <c r="F233" s="517"/>
      <c r="G233" s="517"/>
      <c r="H233" s="517"/>
      <c r="I233" s="517"/>
      <c r="J233" s="517"/>
      <c r="K233" s="517"/>
      <c r="L233" s="517"/>
      <c r="M233" s="517"/>
      <c r="N233" s="517"/>
      <c r="O233" s="517"/>
      <c r="P233" s="517"/>
      <c r="Q233" s="517"/>
      <c r="R233" s="517"/>
      <c r="S233" s="517"/>
      <c r="T233" s="517"/>
      <c r="U233" s="517"/>
      <c r="V233" s="517"/>
      <c r="W233" s="517"/>
      <c r="X233" s="517"/>
      <c r="Y233" s="517"/>
      <c r="Z233" s="517"/>
      <c r="AA233" s="517"/>
      <c r="AB233" s="517"/>
      <c r="AC233" s="517"/>
      <c r="AD233" s="517"/>
      <c r="AE233" s="517"/>
      <c r="AF233" s="517"/>
      <c r="AG233" s="517"/>
    </row>
    <row r="234" spans="2:33">
      <c r="B234" s="517"/>
      <c r="C234" s="517"/>
      <c r="D234" s="517"/>
      <c r="E234" s="517"/>
      <c r="F234" s="517"/>
      <c r="G234" s="517"/>
      <c r="H234" s="517"/>
      <c r="I234" s="517"/>
      <c r="J234" s="517"/>
      <c r="K234" s="517"/>
      <c r="L234" s="517"/>
      <c r="M234" s="517"/>
      <c r="N234" s="517"/>
      <c r="O234" s="517"/>
      <c r="P234" s="517"/>
      <c r="Q234" s="517"/>
      <c r="R234" s="517"/>
      <c r="S234" s="517"/>
      <c r="T234" s="517"/>
      <c r="U234" s="517"/>
      <c r="V234" s="517"/>
      <c r="W234" s="517"/>
      <c r="X234" s="517"/>
      <c r="Y234" s="517"/>
      <c r="Z234" s="517"/>
      <c r="AA234" s="517"/>
      <c r="AB234" s="517"/>
      <c r="AC234" s="517"/>
      <c r="AD234" s="517"/>
      <c r="AE234" s="517"/>
      <c r="AF234" s="517"/>
      <c r="AG234" s="517"/>
    </row>
    <row r="235" spans="2:33">
      <c r="B235" s="517"/>
      <c r="C235" s="517"/>
      <c r="D235" s="517"/>
      <c r="E235" s="517"/>
      <c r="F235" s="517"/>
      <c r="G235" s="517"/>
      <c r="H235" s="517"/>
      <c r="I235" s="517"/>
      <c r="J235" s="517"/>
      <c r="K235" s="517"/>
      <c r="L235" s="517"/>
      <c r="M235" s="517"/>
      <c r="N235" s="517"/>
      <c r="O235" s="517"/>
      <c r="P235" s="517"/>
      <c r="Q235" s="517"/>
      <c r="R235" s="517"/>
      <c r="S235" s="517"/>
      <c r="T235" s="517"/>
      <c r="U235" s="517"/>
      <c r="V235" s="517"/>
      <c r="W235" s="517"/>
      <c r="X235" s="517"/>
      <c r="Y235" s="517"/>
      <c r="Z235" s="517"/>
      <c r="AA235" s="517"/>
      <c r="AB235" s="517"/>
      <c r="AC235" s="517"/>
      <c r="AD235" s="517"/>
      <c r="AE235" s="517"/>
      <c r="AF235" s="517"/>
      <c r="AG235" s="517"/>
    </row>
    <row r="236" spans="2:33">
      <c r="B236" s="517"/>
      <c r="C236" s="517"/>
      <c r="D236" s="517"/>
      <c r="E236" s="517"/>
      <c r="F236" s="517"/>
      <c r="G236" s="517"/>
      <c r="H236" s="517"/>
      <c r="I236" s="517"/>
      <c r="J236" s="517"/>
      <c r="K236" s="517"/>
      <c r="L236" s="517"/>
      <c r="M236" s="517"/>
      <c r="N236" s="517"/>
      <c r="O236" s="517"/>
      <c r="P236" s="517"/>
      <c r="Q236" s="517"/>
      <c r="R236" s="517"/>
      <c r="S236" s="517"/>
      <c r="T236" s="517"/>
      <c r="U236" s="517"/>
      <c r="V236" s="517"/>
      <c r="W236" s="517"/>
      <c r="X236" s="517"/>
      <c r="Y236" s="517"/>
      <c r="Z236" s="517"/>
      <c r="AA236" s="517"/>
      <c r="AB236" s="517"/>
      <c r="AC236" s="517"/>
      <c r="AD236" s="517"/>
      <c r="AE236" s="517"/>
      <c r="AF236" s="517"/>
      <c r="AG236" s="517"/>
    </row>
    <row r="237" spans="2:33">
      <c r="B237" s="517"/>
      <c r="C237" s="517"/>
      <c r="D237" s="517"/>
      <c r="E237" s="517"/>
      <c r="F237" s="517"/>
      <c r="G237" s="517"/>
      <c r="H237" s="517"/>
      <c r="I237" s="517"/>
      <c r="J237" s="517"/>
      <c r="K237" s="517"/>
      <c r="L237" s="517"/>
      <c r="M237" s="517"/>
      <c r="N237" s="517"/>
      <c r="O237" s="517"/>
      <c r="P237" s="517"/>
      <c r="Q237" s="517"/>
      <c r="R237" s="517"/>
      <c r="S237" s="517"/>
      <c r="T237" s="517"/>
      <c r="U237" s="517"/>
      <c r="V237" s="517"/>
      <c r="W237" s="517"/>
      <c r="X237" s="517"/>
      <c r="Y237" s="517"/>
      <c r="Z237" s="517"/>
      <c r="AA237" s="517"/>
      <c r="AB237" s="517"/>
      <c r="AC237" s="517"/>
      <c r="AD237" s="517"/>
      <c r="AE237" s="517"/>
      <c r="AF237" s="517"/>
      <c r="AG237" s="517"/>
    </row>
    <row r="238" spans="2:33">
      <c r="B238" s="517"/>
      <c r="C238" s="517"/>
      <c r="D238" s="517"/>
      <c r="E238" s="517"/>
      <c r="F238" s="517"/>
      <c r="G238" s="517"/>
      <c r="H238" s="517"/>
      <c r="I238" s="517"/>
      <c r="J238" s="517"/>
      <c r="K238" s="517"/>
      <c r="L238" s="517"/>
      <c r="M238" s="517"/>
      <c r="N238" s="517"/>
      <c r="O238" s="517"/>
      <c r="P238" s="517"/>
      <c r="Q238" s="517"/>
      <c r="R238" s="517"/>
      <c r="S238" s="517"/>
      <c r="T238" s="517"/>
      <c r="U238" s="517"/>
      <c r="V238" s="517"/>
      <c r="W238" s="517"/>
      <c r="X238" s="517"/>
      <c r="Y238" s="517"/>
      <c r="Z238" s="517"/>
      <c r="AA238" s="517"/>
      <c r="AB238" s="517"/>
      <c r="AC238" s="517"/>
      <c r="AD238" s="517"/>
      <c r="AE238" s="517"/>
      <c r="AF238" s="517"/>
      <c r="AG238" s="517"/>
    </row>
    <row r="239" spans="2:33">
      <c r="B239" s="517"/>
      <c r="C239" s="517"/>
      <c r="D239" s="517"/>
      <c r="E239" s="517"/>
      <c r="F239" s="517"/>
      <c r="G239" s="517"/>
      <c r="H239" s="517"/>
      <c r="I239" s="517"/>
      <c r="J239" s="517"/>
      <c r="K239" s="517"/>
      <c r="L239" s="517"/>
      <c r="M239" s="517"/>
      <c r="N239" s="517"/>
      <c r="O239" s="517"/>
      <c r="P239" s="517"/>
      <c r="Q239" s="517"/>
      <c r="R239" s="517"/>
      <c r="S239" s="517"/>
      <c r="T239" s="517"/>
      <c r="U239" s="517"/>
      <c r="V239" s="517"/>
      <c r="W239" s="517"/>
      <c r="X239" s="517"/>
      <c r="Y239" s="517"/>
      <c r="Z239" s="517"/>
      <c r="AA239" s="517"/>
      <c r="AB239" s="517"/>
      <c r="AC239" s="517"/>
      <c r="AD239" s="517"/>
      <c r="AE239" s="517"/>
      <c r="AF239" s="517"/>
      <c r="AG239" s="517"/>
    </row>
    <row r="240" spans="2:33">
      <c r="B240" s="517"/>
      <c r="C240" s="517"/>
      <c r="D240" s="517"/>
      <c r="E240" s="517"/>
      <c r="F240" s="517"/>
      <c r="G240" s="517"/>
      <c r="H240" s="517"/>
      <c r="I240" s="517"/>
      <c r="J240" s="517"/>
      <c r="K240" s="517"/>
      <c r="L240" s="517"/>
      <c r="M240" s="517"/>
      <c r="N240" s="517"/>
      <c r="O240" s="517"/>
      <c r="P240" s="517"/>
      <c r="Q240" s="517"/>
      <c r="R240" s="517"/>
      <c r="S240" s="517"/>
      <c r="T240" s="517"/>
      <c r="U240" s="517"/>
      <c r="V240" s="517"/>
      <c r="W240" s="517"/>
      <c r="X240" s="517"/>
      <c r="Y240" s="517"/>
      <c r="Z240" s="517"/>
      <c r="AA240" s="517"/>
      <c r="AB240" s="517"/>
      <c r="AC240" s="517"/>
      <c r="AD240" s="517"/>
      <c r="AE240" s="517"/>
      <c r="AF240" s="517"/>
      <c r="AG240" s="517"/>
    </row>
    <row r="241" spans="2:33">
      <c r="B241" s="517"/>
      <c r="C241" s="517"/>
      <c r="D241" s="517"/>
      <c r="E241" s="517"/>
      <c r="F241" s="517"/>
      <c r="G241" s="517"/>
      <c r="H241" s="517"/>
      <c r="I241" s="517"/>
      <c r="J241" s="517"/>
      <c r="K241" s="517"/>
      <c r="L241" s="517"/>
      <c r="M241" s="517"/>
      <c r="N241" s="517"/>
      <c r="O241" s="517"/>
      <c r="P241" s="517"/>
      <c r="Q241" s="517"/>
      <c r="R241" s="517"/>
      <c r="S241" s="517"/>
      <c r="T241" s="517"/>
      <c r="U241" s="517"/>
      <c r="V241" s="517"/>
      <c r="W241" s="517"/>
      <c r="X241" s="517"/>
      <c r="Y241" s="517"/>
      <c r="Z241" s="517"/>
      <c r="AA241" s="517"/>
      <c r="AB241" s="517"/>
      <c r="AC241" s="517"/>
      <c r="AD241" s="517"/>
      <c r="AE241" s="517"/>
      <c r="AF241" s="517"/>
      <c r="AG241" s="517"/>
    </row>
    <row r="242" spans="2:33">
      <c r="B242" s="517"/>
      <c r="C242" s="517"/>
      <c r="D242" s="517"/>
      <c r="E242" s="517"/>
      <c r="F242" s="517"/>
      <c r="G242" s="517"/>
      <c r="H242" s="517"/>
      <c r="I242" s="517"/>
      <c r="J242" s="517"/>
      <c r="K242" s="517"/>
      <c r="L242" s="517"/>
      <c r="M242" s="517"/>
      <c r="N242" s="517"/>
      <c r="O242" s="517"/>
      <c r="P242" s="517"/>
      <c r="Q242" s="517"/>
      <c r="R242" s="517"/>
      <c r="S242" s="517"/>
      <c r="T242" s="517"/>
      <c r="U242" s="517"/>
      <c r="V242" s="517"/>
      <c r="W242" s="517"/>
      <c r="X242" s="517"/>
      <c r="Y242" s="517"/>
      <c r="Z242" s="517"/>
      <c r="AA242" s="517"/>
      <c r="AB242" s="517"/>
      <c r="AC242" s="517"/>
      <c r="AD242" s="517"/>
      <c r="AE242" s="517"/>
      <c r="AF242" s="517"/>
      <c r="AG242" s="517"/>
    </row>
    <row r="243" spans="2:33">
      <c r="B243" s="517"/>
      <c r="C243" s="517"/>
      <c r="D243" s="517"/>
      <c r="E243" s="517"/>
      <c r="F243" s="517"/>
      <c r="G243" s="517"/>
      <c r="H243" s="517"/>
      <c r="I243" s="517"/>
      <c r="J243" s="517"/>
      <c r="K243" s="517"/>
      <c r="L243" s="517"/>
      <c r="M243" s="517"/>
      <c r="N243" s="517"/>
      <c r="O243" s="517"/>
      <c r="P243" s="517"/>
      <c r="Q243" s="517"/>
      <c r="R243" s="517"/>
      <c r="S243" s="517"/>
      <c r="T243" s="517"/>
      <c r="U243" s="517"/>
      <c r="V243" s="517"/>
      <c r="W243" s="517"/>
      <c r="X243" s="517"/>
      <c r="Y243" s="517"/>
      <c r="Z243" s="517"/>
      <c r="AA243" s="517"/>
      <c r="AB243" s="517"/>
      <c r="AC243" s="517"/>
      <c r="AD243" s="517"/>
      <c r="AE243" s="517"/>
      <c r="AF243" s="517"/>
      <c r="AG243" s="517"/>
    </row>
    <row r="244" spans="2:33">
      <c r="B244" s="517"/>
      <c r="C244" s="517"/>
      <c r="D244" s="517"/>
      <c r="E244" s="517"/>
      <c r="F244" s="517"/>
      <c r="G244" s="517"/>
      <c r="H244" s="517"/>
      <c r="I244" s="517"/>
      <c r="J244" s="517"/>
      <c r="K244" s="517"/>
      <c r="L244" s="517"/>
      <c r="M244" s="517"/>
      <c r="N244" s="517"/>
      <c r="O244" s="517"/>
      <c r="P244" s="517"/>
      <c r="Q244" s="517"/>
      <c r="R244" s="517"/>
      <c r="S244" s="517"/>
      <c r="T244" s="517"/>
      <c r="U244" s="517"/>
      <c r="V244" s="517"/>
      <c r="W244" s="517"/>
      <c r="X244" s="517"/>
      <c r="Y244" s="517"/>
      <c r="Z244" s="517"/>
      <c r="AA244" s="517"/>
      <c r="AB244" s="517"/>
      <c r="AC244" s="517"/>
      <c r="AD244" s="517"/>
      <c r="AE244" s="517"/>
      <c r="AF244" s="517"/>
      <c r="AG244" s="517"/>
    </row>
    <row r="245" spans="2:33">
      <c r="B245" s="517"/>
      <c r="C245" s="517"/>
      <c r="D245" s="517"/>
      <c r="E245" s="517"/>
      <c r="F245" s="517"/>
      <c r="G245" s="517"/>
      <c r="H245" s="517"/>
      <c r="I245" s="517"/>
      <c r="J245" s="517"/>
      <c r="K245" s="517"/>
      <c r="L245" s="517"/>
      <c r="M245" s="517"/>
      <c r="N245" s="517"/>
      <c r="O245" s="517"/>
      <c r="P245" s="517"/>
      <c r="Q245" s="517"/>
      <c r="R245" s="517"/>
      <c r="S245" s="517"/>
      <c r="T245" s="517"/>
      <c r="U245" s="517"/>
      <c r="V245" s="517"/>
      <c r="W245" s="517"/>
      <c r="X245" s="517"/>
      <c r="Y245" s="517"/>
      <c r="Z245" s="517"/>
      <c r="AA245" s="517"/>
      <c r="AB245" s="517"/>
      <c r="AC245" s="517"/>
      <c r="AD245" s="517"/>
      <c r="AE245" s="517"/>
      <c r="AF245" s="517"/>
      <c r="AG245" s="517"/>
    </row>
    <row r="246" spans="2:33">
      <c r="B246" s="517"/>
      <c r="C246" s="517"/>
      <c r="D246" s="517"/>
      <c r="E246" s="517"/>
      <c r="F246" s="517"/>
      <c r="G246" s="517"/>
      <c r="H246" s="517"/>
      <c r="I246" s="517"/>
      <c r="J246" s="517"/>
      <c r="K246" s="517"/>
      <c r="L246" s="517"/>
      <c r="M246" s="517"/>
      <c r="N246" s="517"/>
      <c r="O246" s="517"/>
      <c r="P246" s="517"/>
      <c r="Q246" s="517"/>
      <c r="R246" s="517"/>
      <c r="S246" s="517"/>
      <c r="T246" s="517"/>
      <c r="U246" s="517"/>
      <c r="V246" s="517"/>
      <c r="W246" s="517"/>
      <c r="X246" s="517"/>
      <c r="Y246" s="517"/>
      <c r="Z246" s="517"/>
      <c r="AA246" s="517"/>
      <c r="AB246" s="517"/>
      <c r="AC246" s="517"/>
      <c r="AD246" s="517"/>
      <c r="AE246" s="517"/>
      <c r="AF246" s="517"/>
      <c r="AG246" s="517"/>
    </row>
    <row r="247" spans="2:33">
      <c r="B247" s="517"/>
      <c r="C247" s="517"/>
      <c r="D247" s="517"/>
      <c r="E247" s="517"/>
      <c r="F247" s="517"/>
      <c r="G247" s="517"/>
      <c r="H247" s="517"/>
      <c r="I247" s="517"/>
      <c r="J247" s="517"/>
      <c r="K247" s="517"/>
      <c r="L247" s="517"/>
      <c r="M247" s="517"/>
      <c r="N247" s="517"/>
      <c r="O247" s="517"/>
      <c r="P247" s="517"/>
      <c r="Q247" s="517"/>
      <c r="R247" s="517"/>
      <c r="S247" s="517"/>
      <c r="T247" s="517"/>
      <c r="U247" s="517"/>
      <c r="V247" s="517"/>
      <c r="W247" s="517"/>
      <c r="X247" s="517"/>
      <c r="Y247" s="517"/>
      <c r="Z247" s="517"/>
      <c r="AA247" s="517"/>
      <c r="AB247" s="517"/>
      <c r="AC247" s="517"/>
      <c r="AD247" s="517"/>
      <c r="AE247" s="517"/>
      <c r="AF247" s="517"/>
      <c r="AG247" s="517"/>
    </row>
    <row r="248" spans="2:33">
      <c r="B248" s="517"/>
      <c r="C248" s="517"/>
      <c r="D248" s="517"/>
      <c r="E248" s="517"/>
      <c r="F248" s="517"/>
      <c r="G248" s="517"/>
      <c r="H248" s="517"/>
      <c r="I248" s="517"/>
      <c r="J248" s="517"/>
      <c r="K248" s="517"/>
      <c r="L248" s="517"/>
      <c r="M248" s="517"/>
      <c r="N248" s="517"/>
      <c r="O248" s="517"/>
      <c r="P248" s="517"/>
      <c r="Q248" s="517"/>
      <c r="R248" s="517"/>
      <c r="S248" s="517"/>
      <c r="T248" s="517"/>
      <c r="U248" s="517"/>
      <c r="V248" s="517"/>
      <c r="W248" s="517"/>
      <c r="X248" s="517"/>
      <c r="Y248" s="517"/>
      <c r="Z248" s="517"/>
      <c r="AA248" s="517"/>
      <c r="AB248" s="517"/>
      <c r="AC248" s="517"/>
      <c r="AD248" s="517"/>
      <c r="AE248" s="517"/>
      <c r="AF248" s="517"/>
      <c r="AG248" s="517"/>
    </row>
    <row r="249" spans="2:33">
      <c r="B249" s="517"/>
      <c r="C249" s="517"/>
      <c r="D249" s="517"/>
      <c r="E249" s="517"/>
      <c r="F249" s="517"/>
      <c r="G249" s="517"/>
      <c r="H249" s="517"/>
      <c r="I249" s="517"/>
      <c r="J249" s="517"/>
      <c r="K249" s="517"/>
      <c r="L249" s="517"/>
      <c r="M249" s="517"/>
      <c r="N249" s="517"/>
      <c r="O249" s="517"/>
      <c r="P249" s="517"/>
      <c r="Q249" s="517"/>
      <c r="R249" s="517"/>
      <c r="S249" s="517"/>
      <c r="T249" s="517"/>
      <c r="U249" s="517"/>
      <c r="V249" s="517"/>
      <c r="W249" s="517"/>
      <c r="X249" s="517"/>
      <c r="Y249" s="517"/>
      <c r="Z249" s="517"/>
      <c r="AA249" s="517"/>
      <c r="AB249" s="517"/>
      <c r="AC249" s="517"/>
      <c r="AD249" s="517"/>
      <c r="AE249" s="517"/>
      <c r="AF249" s="517"/>
      <c r="AG249" s="517"/>
    </row>
    <row r="250" spans="2:33">
      <c r="B250" s="517"/>
      <c r="C250" s="517"/>
      <c r="D250" s="517"/>
      <c r="E250" s="517"/>
      <c r="F250" s="517"/>
      <c r="G250" s="517"/>
      <c r="H250" s="517"/>
      <c r="I250" s="517"/>
      <c r="J250" s="517"/>
      <c r="K250" s="517"/>
      <c r="L250" s="517"/>
      <c r="M250" s="517"/>
      <c r="N250" s="517"/>
      <c r="O250" s="517"/>
      <c r="P250" s="517"/>
      <c r="Q250" s="517"/>
      <c r="R250" s="517"/>
      <c r="S250" s="517"/>
      <c r="T250" s="517"/>
      <c r="U250" s="517"/>
      <c r="V250" s="517"/>
      <c r="W250" s="517"/>
      <c r="X250" s="517"/>
      <c r="Y250" s="517"/>
      <c r="Z250" s="517"/>
      <c r="AA250" s="517"/>
      <c r="AB250" s="517"/>
      <c r="AC250" s="517"/>
      <c r="AD250" s="517"/>
      <c r="AE250" s="517"/>
      <c r="AF250" s="517"/>
      <c r="AG250" s="517"/>
    </row>
    <row r="251" spans="2:33">
      <c r="B251" s="517"/>
      <c r="C251" s="517"/>
      <c r="D251" s="517"/>
      <c r="E251" s="517"/>
      <c r="F251" s="517"/>
      <c r="G251" s="517"/>
      <c r="H251" s="517"/>
      <c r="I251" s="517"/>
      <c r="J251" s="517"/>
      <c r="K251" s="517"/>
      <c r="L251" s="517"/>
      <c r="M251" s="517"/>
      <c r="N251" s="517"/>
      <c r="O251" s="517"/>
      <c r="P251" s="517"/>
      <c r="Q251" s="517"/>
      <c r="R251" s="517"/>
      <c r="S251" s="517"/>
      <c r="T251" s="517"/>
      <c r="U251" s="517"/>
      <c r="V251" s="517"/>
      <c r="W251" s="517"/>
      <c r="X251" s="517"/>
      <c r="Y251" s="517"/>
      <c r="Z251" s="517"/>
      <c r="AA251" s="517"/>
      <c r="AB251" s="517"/>
      <c r="AC251" s="517"/>
      <c r="AD251" s="517"/>
      <c r="AE251" s="517"/>
      <c r="AF251" s="517"/>
      <c r="AG251" s="517"/>
    </row>
    <row r="252" spans="2:33">
      <c r="B252" s="517"/>
      <c r="C252" s="517"/>
      <c r="D252" s="517"/>
      <c r="E252" s="517"/>
      <c r="F252" s="517"/>
      <c r="G252" s="517"/>
      <c r="H252" s="517"/>
      <c r="I252" s="517"/>
      <c r="J252" s="517"/>
      <c r="K252" s="517"/>
      <c r="L252" s="517"/>
      <c r="M252" s="517"/>
      <c r="N252" s="517"/>
      <c r="O252" s="517"/>
      <c r="P252" s="517"/>
      <c r="Q252" s="517"/>
      <c r="R252" s="517"/>
      <c r="S252" s="517"/>
      <c r="T252" s="517"/>
      <c r="U252" s="517"/>
      <c r="V252" s="517"/>
      <c r="W252" s="517"/>
      <c r="X252" s="517"/>
      <c r="Y252" s="517"/>
      <c r="Z252" s="517"/>
      <c r="AA252" s="517"/>
      <c r="AB252" s="517"/>
      <c r="AC252" s="517"/>
      <c r="AD252" s="517"/>
      <c r="AE252" s="517"/>
      <c r="AF252" s="517"/>
      <c r="AG252" s="517"/>
    </row>
    <row r="253" spans="2:33">
      <c r="B253" s="517"/>
      <c r="C253" s="517"/>
      <c r="D253" s="517"/>
      <c r="E253" s="517"/>
      <c r="F253" s="517"/>
      <c r="G253" s="517"/>
      <c r="H253" s="517"/>
      <c r="I253" s="517"/>
      <c r="J253" s="517"/>
      <c r="K253" s="517"/>
      <c r="L253" s="517"/>
      <c r="M253" s="517"/>
      <c r="N253" s="517"/>
      <c r="O253" s="517"/>
      <c r="P253" s="517"/>
      <c r="Q253" s="517"/>
      <c r="R253" s="517"/>
      <c r="S253" s="517"/>
      <c r="T253" s="517"/>
      <c r="U253" s="517"/>
      <c r="V253" s="517"/>
      <c r="W253" s="517"/>
      <c r="X253" s="517"/>
      <c r="Y253" s="517"/>
      <c r="Z253" s="517"/>
      <c r="AA253" s="517"/>
      <c r="AB253" s="517"/>
      <c r="AC253" s="517"/>
      <c r="AD253" s="517"/>
      <c r="AE253" s="517"/>
      <c r="AF253" s="517"/>
      <c r="AG253" s="517"/>
    </row>
    <row r="254" spans="2:33">
      <c r="B254" s="517"/>
      <c r="C254" s="517"/>
      <c r="D254" s="517"/>
      <c r="E254" s="517"/>
      <c r="F254" s="517"/>
      <c r="G254" s="517"/>
      <c r="H254" s="517"/>
      <c r="I254" s="517"/>
      <c r="J254" s="517"/>
      <c r="K254" s="517"/>
      <c r="L254" s="517"/>
      <c r="M254" s="517"/>
      <c r="N254" s="517"/>
      <c r="O254" s="517"/>
      <c r="P254" s="517"/>
      <c r="Q254" s="517"/>
      <c r="R254" s="517"/>
      <c r="S254" s="517"/>
      <c r="T254" s="517"/>
      <c r="U254" s="517"/>
      <c r="V254" s="517"/>
      <c r="W254" s="517"/>
      <c r="X254" s="517"/>
      <c r="Y254" s="517"/>
      <c r="Z254" s="517"/>
      <c r="AA254" s="517"/>
      <c r="AB254" s="517"/>
      <c r="AC254" s="517"/>
      <c r="AD254" s="517"/>
      <c r="AE254" s="517"/>
      <c r="AF254" s="517"/>
      <c r="AG254" s="517"/>
    </row>
    <row r="255" spans="2:33">
      <c r="B255" s="517"/>
      <c r="C255" s="517"/>
      <c r="D255" s="517"/>
      <c r="E255" s="517"/>
      <c r="F255" s="517"/>
      <c r="G255" s="517"/>
      <c r="H255" s="517"/>
      <c r="I255" s="517"/>
      <c r="J255" s="517"/>
      <c r="K255" s="517"/>
      <c r="L255" s="517"/>
      <c r="M255" s="517"/>
      <c r="N255" s="517"/>
      <c r="O255" s="517"/>
      <c r="P255" s="517"/>
      <c r="Q255" s="517"/>
      <c r="R255" s="517"/>
      <c r="S255" s="517"/>
      <c r="T255" s="517"/>
      <c r="U255" s="517"/>
      <c r="V255" s="517"/>
      <c r="W255" s="517"/>
      <c r="X255" s="517"/>
      <c r="Y255" s="517"/>
      <c r="Z255" s="517"/>
      <c r="AA255" s="517"/>
      <c r="AB255" s="517"/>
      <c r="AC255" s="517"/>
      <c r="AD255" s="517"/>
      <c r="AE255" s="517"/>
      <c r="AF255" s="517"/>
      <c r="AG255" s="517"/>
    </row>
    <row r="256" spans="2:33">
      <c r="B256" s="517"/>
      <c r="C256" s="517"/>
      <c r="D256" s="517"/>
      <c r="E256" s="517"/>
      <c r="F256" s="517"/>
      <c r="G256" s="517"/>
      <c r="H256" s="517"/>
      <c r="I256" s="517"/>
      <c r="J256" s="517"/>
      <c r="K256" s="517"/>
      <c r="L256" s="517"/>
      <c r="M256" s="517"/>
      <c r="N256" s="517"/>
      <c r="O256" s="517"/>
      <c r="P256" s="517"/>
      <c r="Q256" s="517"/>
      <c r="R256" s="517"/>
      <c r="S256" s="517"/>
      <c r="T256" s="517"/>
      <c r="U256" s="517"/>
      <c r="V256" s="517"/>
      <c r="W256" s="517"/>
      <c r="X256" s="517"/>
      <c r="Y256" s="517"/>
      <c r="Z256" s="517"/>
      <c r="AA256" s="517"/>
      <c r="AB256" s="517"/>
      <c r="AC256" s="517"/>
      <c r="AD256" s="517"/>
      <c r="AE256" s="517"/>
      <c r="AF256" s="517"/>
      <c r="AG256" s="517"/>
    </row>
    <row r="257" spans="2:33">
      <c r="B257" s="517"/>
      <c r="C257" s="517"/>
      <c r="D257" s="517"/>
      <c r="E257" s="517"/>
      <c r="F257" s="517"/>
      <c r="G257" s="517"/>
      <c r="H257" s="517"/>
      <c r="I257" s="517"/>
      <c r="J257" s="517"/>
      <c r="K257" s="517"/>
      <c r="L257" s="517"/>
      <c r="M257" s="517"/>
      <c r="N257" s="517"/>
      <c r="O257" s="517"/>
      <c r="P257" s="517"/>
      <c r="Q257" s="517"/>
      <c r="R257" s="517"/>
      <c r="S257" s="517"/>
      <c r="T257" s="517"/>
      <c r="U257" s="517"/>
      <c r="V257" s="517"/>
      <c r="W257" s="517"/>
      <c r="X257" s="517"/>
      <c r="Y257" s="517"/>
      <c r="Z257" s="517"/>
      <c r="AA257" s="517"/>
      <c r="AB257" s="517"/>
      <c r="AC257" s="517"/>
      <c r="AD257" s="517"/>
      <c r="AE257" s="517"/>
      <c r="AF257" s="517"/>
      <c r="AG257" s="517"/>
    </row>
    <row r="258" spans="2:33">
      <c r="B258" s="517"/>
      <c r="C258" s="517"/>
      <c r="D258" s="517"/>
      <c r="E258" s="517"/>
      <c r="F258" s="517"/>
      <c r="G258" s="517"/>
      <c r="H258" s="517"/>
      <c r="I258" s="517"/>
      <c r="J258" s="517"/>
      <c r="K258" s="517"/>
      <c r="L258" s="517"/>
      <c r="M258" s="517"/>
      <c r="N258" s="517"/>
      <c r="O258" s="517"/>
      <c r="P258" s="517"/>
      <c r="Q258" s="517"/>
      <c r="R258" s="517"/>
      <c r="S258" s="517"/>
      <c r="T258" s="517"/>
      <c r="U258" s="517"/>
      <c r="V258" s="517"/>
      <c r="W258" s="517"/>
      <c r="X258" s="517"/>
      <c r="Y258" s="517"/>
      <c r="Z258" s="517"/>
      <c r="AA258" s="517"/>
      <c r="AB258" s="517"/>
      <c r="AC258" s="517"/>
      <c r="AD258" s="517"/>
      <c r="AE258" s="517"/>
      <c r="AF258" s="517"/>
      <c r="AG258" s="517"/>
    </row>
    <row r="259" spans="2:33">
      <c r="B259" s="517"/>
      <c r="C259" s="517"/>
      <c r="D259" s="517"/>
      <c r="E259" s="517"/>
      <c r="F259" s="517"/>
      <c r="G259" s="517"/>
      <c r="H259" s="517"/>
      <c r="I259" s="517"/>
      <c r="J259" s="517"/>
      <c r="K259" s="517"/>
      <c r="L259" s="517"/>
      <c r="M259" s="517"/>
      <c r="N259" s="517"/>
      <c r="O259" s="517"/>
      <c r="P259" s="517"/>
      <c r="Q259" s="517"/>
      <c r="R259" s="517"/>
      <c r="S259" s="517"/>
      <c r="T259" s="517"/>
      <c r="U259" s="517"/>
      <c r="V259" s="517"/>
      <c r="W259" s="517"/>
      <c r="X259" s="517"/>
      <c r="Y259" s="517"/>
      <c r="Z259" s="517"/>
      <c r="AA259" s="517"/>
      <c r="AB259" s="517"/>
      <c r="AC259" s="517"/>
      <c r="AD259" s="517"/>
      <c r="AE259" s="517"/>
      <c r="AF259" s="517"/>
      <c r="AG259" s="517"/>
    </row>
    <row r="260" spans="2:33">
      <c r="B260" s="517"/>
      <c r="C260" s="517"/>
      <c r="D260" s="517"/>
      <c r="E260" s="517"/>
      <c r="F260" s="517"/>
      <c r="G260" s="517"/>
      <c r="H260" s="517"/>
      <c r="I260" s="517"/>
      <c r="J260" s="517"/>
      <c r="K260" s="517"/>
      <c r="L260" s="517"/>
      <c r="M260" s="517"/>
      <c r="N260" s="517"/>
      <c r="O260" s="517"/>
      <c r="P260" s="517"/>
      <c r="Q260" s="517"/>
      <c r="R260" s="517"/>
      <c r="S260" s="517"/>
      <c r="T260" s="517"/>
      <c r="U260" s="517"/>
      <c r="V260" s="517"/>
      <c r="W260" s="517"/>
      <c r="X260" s="517"/>
      <c r="Y260" s="517"/>
      <c r="Z260" s="517"/>
      <c r="AA260" s="517"/>
      <c r="AB260" s="517"/>
      <c r="AC260" s="517"/>
      <c r="AD260" s="517"/>
      <c r="AE260" s="517"/>
      <c r="AF260" s="517"/>
      <c r="AG260" s="517"/>
    </row>
    <row r="261" spans="2:33">
      <c r="B261" s="517"/>
      <c r="C261" s="517"/>
      <c r="D261" s="517"/>
      <c r="E261" s="517"/>
      <c r="F261" s="517"/>
      <c r="G261" s="517"/>
      <c r="H261" s="517"/>
      <c r="I261" s="517"/>
      <c r="J261" s="517"/>
      <c r="K261" s="517"/>
      <c r="L261" s="517"/>
      <c r="M261" s="517"/>
      <c r="N261" s="517"/>
      <c r="O261" s="517"/>
      <c r="P261" s="517"/>
      <c r="Q261" s="517"/>
      <c r="R261" s="517"/>
      <c r="S261" s="517"/>
      <c r="T261" s="517"/>
      <c r="U261" s="517"/>
      <c r="V261" s="517"/>
      <c r="W261" s="517"/>
      <c r="X261" s="517"/>
      <c r="Y261" s="517"/>
      <c r="Z261" s="517"/>
      <c r="AA261" s="517"/>
      <c r="AB261" s="517"/>
      <c r="AC261" s="517"/>
      <c r="AD261" s="517"/>
      <c r="AE261" s="517"/>
      <c r="AF261" s="517"/>
      <c r="AG261" s="517"/>
    </row>
    <row r="262" spans="2:33">
      <c r="B262" s="517"/>
      <c r="C262" s="517"/>
      <c r="D262" s="517"/>
      <c r="E262" s="517"/>
      <c r="F262" s="517"/>
      <c r="G262" s="517"/>
      <c r="H262" s="517"/>
      <c r="I262" s="517"/>
      <c r="J262" s="517"/>
      <c r="K262" s="517"/>
      <c r="L262" s="517"/>
      <c r="M262" s="517"/>
      <c r="N262" s="517"/>
      <c r="O262" s="517"/>
      <c r="P262" s="517"/>
      <c r="Q262" s="517"/>
      <c r="R262" s="517"/>
      <c r="S262" s="517"/>
      <c r="T262" s="517"/>
      <c r="U262" s="517"/>
      <c r="V262" s="517"/>
      <c r="W262" s="517"/>
      <c r="X262" s="517"/>
      <c r="Y262" s="517"/>
      <c r="Z262" s="517"/>
      <c r="AA262" s="517"/>
      <c r="AB262" s="517"/>
      <c r="AC262" s="517"/>
      <c r="AD262" s="517"/>
      <c r="AE262" s="517"/>
      <c r="AF262" s="517"/>
      <c r="AG262" s="517"/>
    </row>
    <row r="263" spans="2:33">
      <c r="B263" s="517"/>
      <c r="C263" s="517"/>
      <c r="D263" s="517"/>
      <c r="E263" s="517"/>
      <c r="F263" s="517"/>
      <c r="G263" s="517"/>
      <c r="H263" s="517"/>
      <c r="I263" s="517"/>
      <c r="J263" s="517"/>
      <c r="K263" s="517"/>
      <c r="L263" s="517"/>
      <c r="M263" s="517"/>
      <c r="N263" s="517"/>
      <c r="O263" s="517"/>
      <c r="P263" s="517"/>
      <c r="Q263" s="517"/>
      <c r="R263" s="517"/>
      <c r="S263" s="517"/>
      <c r="T263" s="517"/>
      <c r="U263" s="517"/>
      <c r="V263" s="517"/>
      <c r="W263" s="517"/>
      <c r="X263" s="517"/>
      <c r="Y263" s="517"/>
      <c r="Z263" s="517"/>
      <c r="AA263" s="517"/>
      <c r="AB263" s="517"/>
      <c r="AC263" s="517"/>
      <c r="AD263" s="517"/>
      <c r="AE263" s="517"/>
      <c r="AF263" s="517"/>
      <c r="AG263" s="517"/>
    </row>
    <row r="264" spans="2:33">
      <c r="B264" s="517"/>
      <c r="C264" s="517"/>
      <c r="D264" s="517"/>
      <c r="E264" s="517"/>
      <c r="F264" s="517"/>
      <c r="G264" s="517"/>
      <c r="H264" s="517"/>
      <c r="I264" s="517"/>
      <c r="J264" s="517"/>
      <c r="K264" s="517"/>
      <c r="L264" s="517"/>
      <c r="M264" s="517"/>
      <c r="N264" s="517"/>
      <c r="O264" s="517"/>
      <c r="P264" s="517"/>
      <c r="Q264" s="517"/>
      <c r="R264" s="517"/>
      <c r="S264" s="517"/>
      <c r="T264" s="517"/>
      <c r="U264" s="517"/>
      <c r="V264" s="517"/>
      <c r="W264" s="517"/>
      <c r="X264" s="517"/>
      <c r="Y264" s="517"/>
      <c r="Z264" s="517"/>
      <c r="AA264" s="517"/>
      <c r="AB264" s="517"/>
      <c r="AC264" s="517"/>
      <c r="AD264" s="517"/>
      <c r="AE264" s="517"/>
      <c r="AF264" s="517"/>
      <c r="AG264" s="517"/>
    </row>
    <row r="265" spans="2:33">
      <c r="B265" s="517"/>
      <c r="C265" s="517"/>
      <c r="D265" s="517"/>
      <c r="E265" s="517"/>
      <c r="F265" s="517"/>
      <c r="G265" s="517"/>
      <c r="H265" s="517"/>
      <c r="I265" s="517"/>
      <c r="J265" s="517"/>
      <c r="K265" s="517"/>
      <c r="L265" s="517"/>
      <c r="M265" s="517"/>
      <c r="N265" s="517"/>
      <c r="O265" s="517"/>
      <c r="P265" s="517"/>
      <c r="Q265" s="517"/>
      <c r="R265" s="517"/>
      <c r="S265" s="517"/>
      <c r="T265" s="517"/>
      <c r="U265" s="517"/>
      <c r="V265" s="517"/>
      <c r="W265" s="517"/>
      <c r="X265" s="517"/>
      <c r="Y265" s="517"/>
      <c r="Z265" s="517"/>
      <c r="AA265" s="517"/>
      <c r="AB265" s="517"/>
      <c r="AC265" s="517"/>
      <c r="AD265" s="517"/>
      <c r="AE265" s="517"/>
      <c r="AF265" s="517"/>
      <c r="AG265" s="517"/>
    </row>
    <row r="266" spans="2:33">
      <c r="B266" s="517"/>
      <c r="C266" s="517"/>
      <c r="D266" s="517"/>
      <c r="E266" s="517"/>
      <c r="F266" s="517"/>
      <c r="G266" s="517"/>
      <c r="H266" s="517"/>
      <c r="I266" s="517"/>
      <c r="J266" s="517"/>
      <c r="K266" s="517"/>
      <c r="L266" s="517"/>
      <c r="M266" s="517"/>
      <c r="N266" s="517"/>
      <c r="O266" s="517"/>
      <c r="P266" s="517"/>
      <c r="Q266" s="517"/>
      <c r="R266" s="517"/>
      <c r="S266" s="517"/>
      <c r="T266" s="517"/>
      <c r="U266" s="517"/>
      <c r="V266" s="517"/>
      <c r="W266" s="517"/>
      <c r="X266" s="517"/>
      <c r="Y266" s="517"/>
      <c r="Z266" s="517"/>
      <c r="AA266" s="517"/>
      <c r="AB266" s="517"/>
      <c r="AC266" s="517"/>
      <c r="AD266" s="517"/>
      <c r="AE266" s="517"/>
      <c r="AF266" s="517"/>
      <c r="AG266" s="517"/>
    </row>
    <row r="267" spans="2:33">
      <c r="B267" s="517"/>
      <c r="C267" s="517"/>
      <c r="D267" s="517"/>
      <c r="E267" s="517"/>
      <c r="F267" s="517"/>
      <c r="G267" s="517"/>
      <c r="H267" s="517"/>
      <c r="I267" s="517"/>
      <c r="J267" s="517"/>
      <c r="K267" s="517"/>
      <c r="L267" s="517"/>
      <c r="M267" s="517"/>
      <c r="N267" s="517"/>
      <c r="O267" s="517"/>
      <c r="P267" s="517"/>
      <c r="Q267" s="517"/>
      <c r="R267" s="517"/>
      <c r="S267" s="517"/>
      <c r="T267" s="517"/>
      <c r="U267" s="517"/>
      <c r="V267" s="517"/>
      <c r="W267" s="517"/>
      <c r="X267" s="517"/>
      <c r="Y267" s="517"/>
      <c r="Z267" s="517"/>
      <c r="AA267" s="517"/>
      <c r="AB267" s="517"/>
      <c r="AC267" s="517"/>
      <c r="AD267" s="517"/>
      <c r="AE267" s="517"/>
      <c r="AF267" s="517"/>
      <c r="AG267" s="517"/>
    </row>
    <row r="268" spans="2:33">
      <c r="B268" s="517"/>
      <c r="C268" s="517"/>
      <c r="D268" s="517"/>
      <c r="E268" s="517"/>
      <c r="F268" s="517"/>
      <c r="G268" s="517"/>
      <c r="H268" s="517"/>
      <c r="I268" s="517"/>
      <c r="J268" s="517"/>
      <c r="K268" s="517"/>
      <c r="L268" s="517"/>
      <c r="M268" s="517"/>
      <c r="N268" s="517"/>
      <c r="O268" s="517"/>
      <c r="P268" s="517"/>
      <c r="Q268" s="517"/>
      <c r="R268" s="517"/>
      <c r="S268" s="517"/>
      <c r="T268" s="517"/>
      <c r="U268" s="517"/>
      <c r="V268" s="517"/>
      <c r="W268" s="517"/>
      <c r="X268" s="517"/>
      <c r="Y268" s="517"/>
      <c r="Z268" s="517"/>
      <c r="AA268" s="517"/>
      <c r="AB268" s="517"/>
      <c r="AC268" s="517"/>
      <c r="AD268" s="517"/>
      <c r="AE268" s="517"/>
      <c r="AF268" s="517"/>
      <c r="AG268" s="517"/>
    </row>
    <row r="269" spans="2:33">
      <c r="B269" s="517"/>
      <c r="C269" s="517"/>
      <c r="D269" s="517"/>
      <c r="E269" s="517"/>
      <c r="F269" s="517"/>
      <c r="G269" s="517"/>
      <c r="H269" s="517"/>
      <c r="I269" s="517"/>
      <c r="J269" s="517"/>
      <c r="K269" s="517"/>
      <c r="L269" s="517"/>
      <c r="M269" s="517"/>
      <c r="N269" s="517"/>
      <c r="O269" s="517"/>
      <c r="P269" s="517"/>
      <c r="Q269" s="517"/>
      <c r="R269" s="517"/>
      <c r="S269" s="517"/>
      <c r="T269" s="517"/>
      <c r="U269" s="517"/>
      <c r="V269" s="517"/>
      <c r="W269" s="517"/>
      <c r="X269" s="517"/>
      <c r="Y269" s="517"/>
      <c r="Z269" s="517"/>
      <c r="AA269" s="517"/>
      <c r="AB269" s="517"/>
      <c r="AC269" s="517"/>
      <c r="AD269" s="517"/>
      <c r="AE269" s="517"/>
      <c r="AF269" s="517"/>
      <c r="AG269" s="517"/>
    </row>
    <row r="270" spans="2:33">
      <c r="B270" s="517"/>
      <c r="C270" s="517"/>
      <c r="D270" s="517"/>
      <c r="E270" s="517"/>
      <c r="F270" s="517"/>
      <c r="G270" s="517"/>
      <c r="H270" s="517"/>
      <c r="I270" s="517"/>
      <c r="J270" s="517"/>
      <c r="K270" s="517"/>
      <c r="L270" s="517"/>
      <c r="M270" s="517"/>
      <c r="N270" s="517"/>
      <c r="O270" s="517"/>
      <c r="P270" s="517"/>
      <c r="Q270" s="517"/>
      <c r="R270" s="517"/>
      <c r="S270" s="517"/>
      <c r="T270" s="517"/>
      <c r="U270" s="517"/>
      <c r="V270" s="517"/>
      <c r="W270" s="517"/>
      <c r="X270" s="517"/>
      <c r="Y270" s="517"/>
      <c r="Z270" s="517"/>
      <c r="AA270" s="517"/>
      <c r="AB270" s="517"/>
      <c r="AC270" s="517"/>
      <c r="AD270" s="517"/>
      <c r="AE270" s="517"/>
      <c r="AF270" s="517"/>
      <c r="AG270" s="517"/>
    </row>
    <row r="271" spans="2:33">
      <c r="B271" s="517"/>
      <c r="C271" s="517"/>
      <c r="D271" s="517"/>
      <c r="E271" s="517"/>
      <c r="F271" s="517"/>
      <c r="G271" s="517"/>
      <c r="H271" s="517"/>
      <c r="I271" s="517"/>
      <c r="J271" s="517"/>
      <c r="K271" s="517"/>
      <c r="L271" s="517"/>
      <c r="M271" s="517"/>
      <c r="N271" s="517"/>
      <c r="O271" s="517"/>
      <c r="P271" s="517"/>
      <c r="Q271" s="517"/>
      <c r="R271" s="517"/>
      <c r="S271" s="517"/>
      <c r="T271" s="517"/>
      <c r="U271" s="517"/>
      <c r="V271" s="517"/>
      <c r="W271" s="517"/>
      <c r="X271" s="517"/>
      <c r="Y271" s="517"/>
      <c r="Z271" s="517"/>
      <c r="AA271" s="517"/>
      <c r="AB271" s="517"/>
      <c r="AC271" s="517"/>
      <c r="AD271" s="517"/>
      <c r="AE271" s="517"/>
      <c r="AF271" s="517"/>
      <c r="AG271" s="517"/>
    </row>
    <row r="272" spans="2:33">
      <c r="B272" s="517"/>
      <c r="C272" s="517"/>
      <c r="D272" s="517"/>
      <c r="E272" s="517"/>
      <c r="F272" s="517"/>
      <c r="G272" s="517"/>
      <c r="H272" s="517"/>
      <c r="I272" s="517"/>
      <c r="J272" s="517"/>
      <c r="K272" s="517"/>
      <c r="L272" s="517"/>
      <c r="M272" s="517"/>
      <c r="N272" s="517"/>
      <c r="O272" s="517"/>
      <c r="P272" s="517"/>
      <c r="Q272" s="517"/>
      <c r="R272" s="517"/>
      <c r="S272" s="517"/>
      <c r="T272" s="517"/>
      <c r="U272" s="517"/>
      <c r="V272" s="517"/>
      <c r="W272" s="517"/>
      <c r="X272" s="517"/>
      <c r="Y272" s="517"/>
      <c r="Z272" s="517"/>
      <c r="AA272" s="517"/>
      <c r="AB272" s="517"/>
      <c r="AC272" s="517"/>
      <c r="AD272" s="517"/>
      <c r="AE272" s="517"/>
      <c r="AF272" s="517"/>
      <c r="AG272" s="517"/>
    </row>
    <row r="273" spans="2:33">
      <c r="B273" s="517"/>
      <c r="C273" s="517"/>
      <c r="D273" s="517"/>
      <c r="E273" s="517"/>
      <c r="F273" s="517"/>
      <c r="G273" s="517"/>
      <c r="H273" s="517"/>
      <c r="I273" s="517"/>
      <c r="J273" s="517"/>
      <c r="K273" s="517"/>
      <c r="L273" s="517"/>
      <c r="M273" s="517"/>
      <c r="N273" s="517"/>
      <c r="O273" s="517"/>
      <c r="P273" s="517"/>
      <c r="Q273" s="517"/>
      <c r="R273" s="517"/>
      <c r="S273" s="517"/>
      <c r="T273" s="517"/>
      <c r="U273" s="517"/>
      <c r="V273" s="517"/>
      <c r="W273" s="517"/>
      <c r="X273" s="517"/>
      <c r="Y273" s="517"/>
      <c r="Z273" s="517"/>
      <c r="AA273" s="517"/>
      <c r="AB273" s="517"/>
      <c r="AC273" s="517"/>
      <c r="AD273" s="517"/>
      <c r="AE273" s="517"/>
      <c r="AF273" s="517"/>
      <c r="AG273" s="517"/>
    </row>
    <row r="274" spans="2:33">
      <c r="B274" s="517"/>
      <c r="C274" s="517"/>
      <c r="D274" s="517"/>
      <c r="E274" s="517"/>
      <c r="F274" s="517"/>
      <c r="G274" s="517"/>
      <c r="H274" s="517"/>
      <c r="I274" s="517"/>
      <c r="J274" s="517"/>
      <c r="K274" s="517"/>
      <c r="L274" s="517"/>
      <c r="M274" s="517"/>
      <c r="N274" s="517"/>
      <c r="O274" s="517"/>
      <c r="P274" s="517"/>
      <c r="Q274" s="517"/>
      <c r="R274" s="517"/>
      <c r="S274" s="517"/>
      <c r="T274" s="517"/>
      <c r="U274" s="517"/>
      <c r="V274" s="517"/>
      <c r="W274" s="517"/>
      <c r="X274" s="517"/>
      <c r="Y274" s="517"/>
      <c r="Z274" s="517"/>
      <c r="AA274" s="517"/>
      <c r="AB274" s="517"/>
      <c r="AC274" s="517"/>
      <c r="AD274" s="517"/>
      <c r="AE274" s="517"/>
      <c r="AF274" s="517"/>
      <c r="AG274" s="517"/>
    </row>
    <row r="275" spans="2:33">
      <c r="B275" s="517"/>
      <c r="C275" s="517"/>
      <c r="D275" s="517"/>
      <c r="E275" s="517"/>
      <c r="F275" s="517"/>
      <c r="G275" s="517"/>
      <c r="H275" s="517"/>
      <c r="I275" s="517"/>
      <c r="J275" s="517"/>
      <c r="K275" s="517"/>
      <c r="L275" s="517"/>
      <c r="M275" s="517"/>
      <c r="N275" s="517"/>
      <c r="O275" s="517"/>
      <c r="P275" s="517"/>
      <c r="Q275" s="517"/>
      <c r="R275" s="517"/>
      <c r="S275" s="517"/>
      <c r="T275" s="517"/>
      <c r="U275" s="517"/>
      <c r="V275" s="517"/>
      <c r="W275" s="517"/>
      <c r="X275" s="517"/>
      <c r="Y275" s="517"/>
      <c r="Z275" s="517"/>
      <c r="AA275" s="517"/>
      <c r="AB275" s="517"/>
      <c r="AC275" s="517"/>
      <c r="AD275" s="517"/>
      <c r="AE275" s="517"/>
      <c r="AF275" s="517"/>
      <c r="AG275" s="517"/>
    </row>
    <row r="276" spans="2:33">
      <c r="B276" s="517"/>
      <c r="C276" s="517"/>
      <c r="D276" s="517"/>
      <c r="E276" s="517"/>
      <c r="F276" s="517"/>
      <c r="G276" s="517"/>
      <c r="H276" s="517"/>
      <c r="I276" s="517"/>
      <c r="J276" s="517"/>
      <c r="K276" s="517"/>
      <c r="L276" s="517"/>
      <c r="M276" s="517"/>
      <c r="N276" s="517"/>
      <c r="O276" s="517"/>
      <c r="P276" s="517"/>
      <c r="Q276" s="517"/>
      <c r="R276" s="517"/>
      <c r="S276" s="517"/>
      <c r="T276" s="517"/>
      <c r="U276" s="517"/>
      <c r="V276" s="517"/>
      <c r="W276" s="517"/>
      <c r="X276" s="517"/>
      <c r="Y276" s="517"/>
      <c r="Z276" s="517"/>
      <c r="AA276" s="517"/>
      <c r="AB276" s="517"/>
      <c r="AC276" s="517"/>
      <c r="AD276" s="517"/>
      <c r="AE276" s="517"/>
      <c r="AF276" s="517"/>
      <c r="AG276" s="517"/>
    </row>
    <row r="277" spans="2:33">
      <c r="B277" s="517"/>
      <c r="C277" s="517"/>
      <c r="D277" s="517"/>
      <c r="E277" s="517"/>
      <c r="F277" s="517"/>
      <c r="G277" s="517"/>
      <c r="H277" s="517"/>
      <c r="I277" s="517"/>
      <c r="J277" s="517"/>
      <c r="K277" s="517"/>
      <c r="L277" s="517"/>
      <c r="M277" s="517"/>
      <c r="N277" s="517"/>
      <c r="O277" s="517"/>
      <c r="P277" s="517"/>
      <c r="Q277" s="517"/>
      <c r="R277" s="517"/>
      <c r="S277" s="517"/>
      <c r="T277" s="517"/>
      <c r="U277" s="517"/>
      <c r="V277" s="517"/>
      <c r="W277" s="517"/>
      <c r="X277" s="517"/>
      <c r="Y277" s="517"/>
      <c r="Z277" s="517"/>
      <c r="AA277" s="517"/>
      <c r="AB277" s="517"/>
      <c r="AC277" s="517"/>
      <c r="AD277" s="517"/>
      <c r="AE277" s="517"/>
      <c r="AF277" s="517"/>
      <c r="AG277" s="517"/>
    </row>
    <row r="278" spans="2:33">
      <c r="B278" s="517"/>
      <c r="C278" s="517"/>
      <c r="D278" s="517"/>
      <c r="E278" s="517"/>
      <c r="F278" s="517"/>
      <c r="G278" s="517"/>
      <c r="H278" s="517"/>
      <c r="I278" s="517"/>
      <c r="J278" s="517"/>
      <c r="K278" s="517"/>
      <c r="L278" s="517"/>
      <c r="M278" s="517"/>
      <c r="N278" s="517"/>
      <c r="O278" s="517"/>
      <c r="P278" s="517"/>
      <c r="Q278" s="517"/>
      <c r="R278" s="517"/>
      <c r="S278" s="517"/>
      <c r="T278" s="517"/>
      <c r="U278" s="517"/>
      <c r="V278" s="517"/>
      <c r="W278" s="517"/>
      <c r="X278" s="517"/>
      <c r="Y278" s="517"/>
      <c r="Z278" s="517"/>
      <c r="AA278" s="517"/>
      <c r="AB278" s="517"/>
      <c r="AC278" s="517"/>
      <c r="AD278" s="517"/>
      <c r="AE278" s="517"/>
      <c r="AF278" s="517"/>
      <c r="AG278" s="517"/>
    </row>
    <row r="279" spans="2:33">
      <c r="B279" s="517"/>
      <c r="C279" s="517"/>
      <c r="D279" s="517"/>
      <c r="E279" s="517"/>
      <c r="F279" s="517"/>
      <c r="G279" s="517"/>
      <c r="H279" s="517"/>
      <c r="I279" s="517"/>
      <c r="J279" s="517"/>
      <c r="K279" s="517"/>
      <c r="L279" s="517"/>
      <c r="M279" s="517"/>
      <c r="N279" s="517"/>
      <c r="O279" s="517"/>
      <c r="P279" s="517"/>
      <c r="Q279" s="517"/>
      <c r="R279" s="517"/>
      <c r="S279" s="517"/>
      <c r="T279" s="517"/>
      <c r="U279" s="517"/>
      <c r="V279" s="517"/>
      <c r="W279" s="517"/>
      <c r="X279" s="517"/>
      <c r="Y279" s="517"/>
      <c r="Z279" s="517"/>
      <c r="AA279" s="517"/>
      <c r="AB279" s="517"/>
      <c r="AC279" s="517"/>
      <c r="AD279" s="517"/>
      <c r="AE279" s="517"/>
      <c r="AF279" s="517"/>
      <c r="AG279" s="517"/>
    </row>
    <row r="280" spans="2:33">
      <c r="B280" s="517"/>
      <c r="C280" s="517"/>
      <c r="D280" s="517"/>
      <c r="E280" s="517"/>
      <c r="F280" s="517"/>
      <c r="G280" s="517"/>
      <c r="H280" s="517"/>
      <c r="I280" s="517"/>
      <c r="J280" s="517"/>
      <c r="K280" s="517"/>
      <c r="L280" s="517"/>
      <c r="M280" s="517"/>
      <c r="N280" s="517"/>
      <c r="O280" s="517"/>
      <c r="P280" s="517"/>
      <c r="Q280" s="517"/>
      <c r="R280" s="517"/>
      <c r="S280" s="517"/>
      <c r="T280" s="517"/>
      <c r="U280" s="517"/>
      <c r="V280" s="517"/>
      <c r="W280" s="517"/>
      <c r="X280" s="517"/>
      <c r="Y280" s="517"/>
      <c r="Z280" s="517"/>
      <c r="AA280" s="517"/>
      <c r="AB280" s="517"/>
      <c r="AC280" s="517"/>
      <c r="AD280" s="517"/>
      <c r="AE280" s="517"/>
      <c r="AF280" s="517"/>
      <c r="AG280" s="517"/>
    </row>
    <row r="281" spans="2:33">
      <c r="B281" s="517"/>
      <c r="C281" s="517"/>
      <c r="D281" s="517"/>
      <c r="E281" s="517"/>
      <c r="F281" s="517"/>
      <c r="G281" s="517"/>
      <c r="H281" s="517"/>
      <c r="I281" s="517"/>
      <c r="J281" s="517"/>
      <c r="K281" s="517"/>
      <c r="L281" s="517"/>
      <c r="M281" s="517"/>
      <c r="N281" s="517"/>
      <c r="O281" s="517"/>
      <c r="P281" s="517"/>
      <c r="Q281" s="517"/>
      <c r="R281" s="517"/>
      <c r="S281" s="517"/>
      <c r="T281" s="517"/>
      <c r="U281" s="517"/>
      <c r="V281" s="517"/>
      <c r="W281" s="517"/>
      <c r="X281" s="517"/>
      <c r="Y281" s="517"/>
      <c r="Z281" s="517"/>
      <c r="AA281" s="517"/>
      <c r="AB281" s="517"/>
      <c r="AC281" s="517"/>
      <c r="AD281" s="517"/>
      <c r="AE281" s="517"/>
      <c r="AF281" s="517"/>
      <c r="AG281" s="517"/>
    </row>
    <row r="282" spans="2:33">
      <c r="B282" s="517"/>
      <c r="C282" s="517"/>
      <c r="D282" s="517"/>
      <c r="E282" s="517"/>
      <c r="F282" s="517"/>
      <c r="G282" s="517"/>
      <c r="H282" s="517"/>
      <c r="I282" s="517"/>
      <c r="J282" s="517"/>
      <c r="K282" s="517"/>
      <c r="L282" s="517"/>
      <c r="M282" s="517"/>
      <c r="N282" s="517"/>
      <c r="O282" s="517"/>
      <c r="P282" s="517"/>
      <c r="Q282" s="517"/>
      <c r="R282" s="517"/>
      <c r="S282" s="517"/>
      <c r="T282" s="517"/>
      <c r="U282" s="517"/>
      <c r="V282" s="517"/>
      <c r="W282" s="517"/>
      <c r="X282" s="517"/>
      <c r="Y282" s="517"/>
      <c r="Z282" s="517"/>
      <c r="AA282" s="517"/>
      <c r="AB282" s="517"/>
      <c r="AC282" s="517"/>
      <c r="AD282" s="517"/>
      <c r="AE282" s="517"/>
      <c r="AF282" s="517"/>
      <c r="AG282" s="517"/>
    </row>
    <row r="283" spans="2:33">
      <c r="B283" s="517"/>
      <c r="C283" s="517"/>
      <c r="D283" s="517"/>
      <c r="E283" s="517"/>
      <c r="F283" s="517"/>
      <c r="G283" s="517"/>
      <c r="H283" s="517"/>
      <c r="I283" s="517"/>
      <c r="J283" s="517"/>
      <c r="K283" s="517"/>
      <c r="L283" s="517"/>
      <c r="M283" s="517"/>
      <c r="N283" s="517"/>
      <c r="O283" s="517"/>
      <c r="P283" s="517"/>
      <c r="Q283" s="517"/>
      <c r="R283" s="517"/>
      <c r="S283" s="517"/>
      <c r="T283" s="517"/>
      <c r="U283" s="517"/>
      <c r="V283" s="517"/>
      <c r="W283" s="517"/>
      <c r="X283" s="517"/>
      <c r="Y283" s="517"/>
      <c r="Z283" s="517"/>
      <c r="AA283" s="517"/>
      <c r="AB283" s="517"/>
      <c r="AC283" s="517"/>
      <c r="AD283" s="517"/>
      <c r="AE283" s="517"/>
      <c r="AF283" s="517"/>
      <c r="AG283" s="517"/>
    </row>
    <row r="284" spans="2:33">
      <c r="B284" s="517"/>
      <c r="C284" s="517"/>
      <c r="D284" s="517"/>
      <c r="E284" s="517"/>
      <c r="F284" s="517"/>
      <c r="G284" s="517"/>
      <c r="H284" s="517"/>
      <c r="I284" s="517"/>
      <c r="J284" s="517"/>
      <c r="K284" s="517"/>
      <c r="L284" s="517"/>
      <c r="M284" s="517"/>
      <c r="N284" s="517"/>
      <c r="O284" s="517"/>
      <c r="P284" s="517"/>
      <c r="Q284" s="517"/>
      <c r="R284" s="517"/>
      <c r="S284" s="517"/>
      <c r="T284" s="517"/>
      <c r="U284" s="517"/>
      <c r="V284" s="517"/>
      <c r="W284" s="517"/>
      <c r="X284" s="517"/>
      <c r="Y284" s="517"/>
      <c r="Z284" s="517"/>
      <c r="AA284" s="517"/>
      <c r="AB284" s="517"/>
      <c r="AC284" s="517"/>
      <c r="AD284" s="517"/>
      <c r="AE284" s="517"/>
      <c r="AF284" s="517"/>
      <c r="AG284" s="517"/>
    </row>
    <row r="285" spans="2:33">
      <c r="B285" s="517"/>
      <c r="C285" s="517"/>
      <c r="D285" s="517"/>
      <c r="E285" s="517"/>
      <c r="F285" s="517"/>
      <c r="G285" s="517"/>
      <c r="H285" s="517"/>
      <c r="I285" s="517"/>
      <c r="J285" s="517"/>
      <c r="K285" s="517"/>
      <c r="L285" s="517"/>
      <c r="M285" s="517"/>
      <c r="N285" s="517"/>
      <c r="O285" s="517"/>
      <c r="P285" s="517"/>
      <c r="Q285" s="517"/>
      <c r="R285" s="517"/>
      <c r="S285" s="517"/>
      <c r="T285" s="517"/>
      <c r="U285" s="517"/>
      <c r="V285" s="517"/>
      <c r="W285" s="517"/>
      <c r="X285" s="517"/>
      <c r="Y285" s="517"/>
      <c r="Z285" s="517"/>
      <c r="AA285" s="517"/>
      <c r="AB285" s="517"/>
      <c r="AC285" s="517"/>
      <c r="AD285" s="517"/>
      <c r="AE285" s="517"/>
      <c r="AF285" s="517"/>
      <c r="AG285" s="517"/>
    </row>
    <row r="286" spans="2:33">
      <c r="B286" s="517"/>
      <c r="C286" s="517"/>
      <c r="D286" s="517"/>
      <c r="E286" s="517"/>
      <c r="F286" s="517"/>
      <c r="G286" s="517"/>
      <c r="H286" s="517"/>
      <c r="I286" s="517"/>
      <c r="J286" s="517"/>
      <c r="K286" s="517"/>
      <c r="L286" s="517"/>
      <c r="M286" s="517"/>
      <c r="N286" s="517"/>
      <c r="O286" s="517"/>
      <c r="P286" s="517"/>
      <c r="Q286" s="517"/>
      <c r="R286" s="517"/>
      <c r="S286" s="517"/>
      <c r="T286" s="517"/>
      <c r="U286" s="517"/>
      <c r="V286" s="517"/>
      <c r="W286" s="517"/>
      <c r="X286" s="517"/>
      <c r="Y286" s="517"/>
      <c r="Z286" s="517"/>
      <c r="AA286" s="517"/>
      <c r="AB286" s="517"/>
      <c r="AC286" s="517"/>
      <c r="AD286" s="517"/>
      <c r="AE286" s="517"/>
      <c r="AF286" s="517"/>
      <c r="AG286" s="517"/>
    </row>
    <row r="287" spans="2:33">
      <c r="B287" s="517"/>
      <c r="C287" s="517"/>
      <c r="D287" s="517"/>
      <c r="E287" s="517"/>
      <c r="F287" s="517"/>
      <c r="G287" s="517"/>
      <c r="H287" s="517"/>
      <c r="I287" s="517"/>
      <c r="J287" s="517"/>
      <c r="K287" s="517"/>
      <c r="L287" s="517"/>
      <c r="M287" s="517"/>
      <c r="N287" s="517"/>
      <c r="O287" s="517"/>
      <c r="P287" s="517"/>
      <c r="Q287" s="517"/>
      <c r="R287" s="517"/>
      <c r="S287" s="517"/>
      <c r="T287" s="517"/>
      <c r="U287" s="517"/>
      <c r="V287" s="517"/>
      <c r="W287" s="517"/>
      <c r="X287" s="517"/>
      <c r="Y287" s="517"/>
      <c r="Z287" s="517"/>
      <c r="AA287" s="517"/>
      <c r="AB287" s="517"/>
      <c r="AC287" s="517"/>
      <c r="AD287" s="517"/>
      <c r="AE287" s="517"/>
      <c r="AF287" s="517"/>
      <c r="AG287" s="517"/>
    </row>
    <row r="288" spans="2:33">
      <c r="B288" s="517"/>
      <c r="C288" s="517"/>
      <c r="D288" s="517"/>
      <c r="E288" s="517"/>
      <c r="F288" s="517"/>
      <c r="G288" s="517"/>
      <c r="H288" s="517"/>
      <c r="I288" s="517"/>
      <c r="J288" s="517"/>
      <c r="K288" s="517"/>
      <c r="L288" s="517"/>
      <c r="M288" s="517"/>
      <c r="N288" s="517"/>
      <c r="O288" s="517"/>
      <c r="P288" s="517"/>
      <c r="Q288" s="517"/>
      <c r="R288" s="517"/>
      <c r="S288" s="517"/>
      <c r="T288" s="517"/>
      <c r="U288" s="517"/>
      <c r="V288" s="517"/>
      <c r="W288" s="517"/>
      <c r="X288" s="517"/>
      <c r="Y288" s="517"/>
      <c r="Z288" s="517"/>
      <c r="AA288" s="517"/>
      <c r="AB288" s="517"/>
      <c r="AC288" s="517"/>
      <c r="AD288" s="517"/>
      <c r="AE288" s="517"/>
      <c r="AF288" s="517"/>
      <c r="AG288" s="517"/>
    </row>
    <row r="289" spans="2:33">
      <c r="B289" s="517"/>
      <c r="C289" s="517"/>
      <c r="D289" s="517"/>
      <c r="E289" s="517"/>
      <c r="F289" s="517"/>
      <c r="G289" s="517"/>
      <c r="H289" s="517"/>
      <c r="I289" s="517"/>
      <c r="J289" s="517"/>
      <c r="K289" s="517"/>
      <c r="L289" s="517"/>
      <c r="M289" s="517"/>
      <c r="N289" s="517"/>
      <c r="O289" s="517"/>
      <c r="P289" s="517"/>
      <c r="Q289" s="517"/>
      <c r="R289" s="517"/>
      <c r="S289" s="517"/>
      <c r="T289" s="517"/>
      <c r="U289" s="517"/>
      <c r="V289" s="517"/>
      <c r="W289" s="517"/>
      <c r="X289" s="517"/>
      <c r="Y289" s="517"/>
      <c r="Z289" s="517"/>
      <c r="AA289" s="517"/>
      <c r="AB289" s="517"/>
      <c r="AC289" s="517"/>
      <c r="AD289" s="517"/>
      <c r="AE289" s="517"/>
      <c r="AF289" s="517"/>
      <c r="AG289" s="517"/>
    </row>
    <row r="290" spans="2:33">
      <c r="B290" s="517"/>
      <c r="C290" s="517"/>
      <c r="D290" s="517"/>
      <c r="E290" s="517"/>
      <c r="F290" s="517"/>
      <c r="G290" s="517"/>
      <c r="H290" s="517"/>
      <c r="I290" s="517"/>
      <c r="J290" s="517"/>
      <c r="K290" s="517"/>
      <c r="L290" s="517"/>
      <c r="M290" s="517"/>
      <c r="N290" s="517"/>
      <c r="O290" s="517"/>
      <c r="P290" s="517"/>
      <c r="Q290" s="517"/>
      <c r="R290" s="517"/>
      <c r="S290" s="517"/>
      <c r="T290" s="517"/>
      <c r="U290" s="517"/>
      <c r="V290" s="517"/>
      <c r="W290" s="517"/>
      <c r="X290" s="517"/>
      <c r="Y290" s="517"/>
      <c r="Z290" s="517"/>
      <c r="AA290" s="517"/>
      <c r="AB290" s="517"/>
      <c r="AC290" s="517"/>
      <c r="AD290" s="517"/>
      <c r="AE290" s="517"/>
      <c r="AF290" s="517"/>
      <c r="AG290" s="517"/>
    </row>
    <row r="291" spans="2:33">
      <c r="B291" s="517"/>
      <c r="C291" s="517"/>
      <c r="D291" s="517"/>
      <c r="E291" s="517"/>
      <c r="F291" s="517"/>
      <c r="G291" s="517"/>
      <c r="H291" s="517"/>
      <c r="I291" s="517"/>
      <c r="J291" s="517"/>
      <c r="K291" s="517"/>
      <c r="L291" s="517"/>
      <c r="M291" s="517"/>
      <c r="N291" s="517"/>
      <c r="O291" s="517"/>
      <c r="P291" s="517"/>
      <c r="Q291" s="517"/>
      <c r="R291" s="517"/>
      <c r="S291" s="517"/>
      <c r="T291" s="517"/>
      <c r="U291" s="517"/>
      <c r="V291" s="517"/>
      <c r="W291" s="517"/>
      <c r="X291" s="517"/>
      <c r="Y291" s="517"/>
      <c r="Z291" s="517"/>
      <c r="AA291" s="517"/>
      <c r="AB291" s="517"/>
      <c r="AC291" s="517"/>
      <c r="AD291" s="517"/>
      <c r="AE291" s="517"/>
      <c r="AF291" s="517"/>
      <c r="AG291" s="517"/>
    </row>
    <row r="292" spans="2:33">
      <c r="B292" s="517"/>
      <c r="C292" s="517"/>
      <c r="D292" s="517"/>
      <c r="E292" s="517"/>
      <c r="F292" s="517"/>
      <c r="G292" s="517"/>
      <c r="H292" s="517"/>
      <c r="I292" s="517"/>
      <c r="J292" s="517"/>
      <c r="K292" s="517"/>
      <c r="L292" s="517"/>
      <c r="M292" s="517"/>
      <c r="N292" s="517"/>
      <c r="O292" s="517"/>
      <c r="P292" s="517"/>
      <c r="Q292" s="517"/>
      <c r="R292" s="517"/>
      <c r="S292" s="517"/>
      <c r="T292" s="517"/>
      <c r="U292" s="517"/>
      <c r="V292" s="517"/>
      <c r="W292" s="517"/>
      <c r="X292" s="517"/>
      <c r="Y292" s="517"/>
      <c r="Z292" s="517"/>
      <c r="AA292" s="517"/>
      <c r="AB292" s="517"/>
      <c r="AC292" s="517"/>
      <c r="AD292" s="517"/>
      <c r="AE292" s="517"/>
      <c r="AF292" s="517"/>
      <c r="AG292" s="517"/>
    </row>
    <row r="293" spans="2:33">
      <c r="B293" s="517"/>
      <c r="C293" s="517"/>
      <c r="D293" s="517"/>
      <c r="E293" s="517"/>
      <c r="F293" s="517"/>
      <c r="G293" s="517"/>
      <c r="H293" s="517"/>
      <c r="I293" s="517"/>
      <c r="J293" s="517"/>
      <c r="K293" s="517"/>
      <c r="L293" s="517"/>
      <c r="M293" s="517"/>
      <c r="N293" s="517"/>
      <c r="O293" s="517"/>
      <c r="P293" s="517"/>
      <c r="Q293" s="517"/>
      <c r="R293" s="517"/>
      <c r="S293" s="517"/>
      <c r="T293" s="517"/>
      <c r="U293" s="517"/>
      <c r="V293" s="517"/>
      <c r="W293" s="517"/>
      <c r="X293" s="517"/>
      <c r="Y293" s="517"/>
      <c r="Z293" s="517"/>
      <c r="AA293" s="517"/>
      <c r="AB293" s="517"/>
      <c r="AC293" s="517"/>
      <c r="AD293" s="517"/>
      <c r="AE293" s="517"/>
      <c r="AF293" s="517"/>
      <c r="AG293" s="517"/>
    </row>
  </sheetData>
  <mergeCells count="11">
    <mergeCell ref="Y7:AB7"/>
    <mergeCell ref="AC7:AF7"/>
    <mergeCell ref="A1:AF1"/>
    <mergeCell ref="A2:AF2"/>
    <mergeCell ref="A3:AF3"/>
    <mergeCell ref="B7:E7"/>
    <mergeCell ref="F7:I7"/>
    <mergeCell ref="J7:M7"/>
    <mergeCell ref="N7:Q7"/>
    <mergeCell ref="R7:T7"/>
    <mergeCell ref="U7:X7"/>
  </mergeCells>
  <phoneticPr fontId="19" type="noConversion"/>
  <pageMargins left="0.39370078740157483" right="0.39370078740157483" top="0.39370078740157483" bottom="0.39370078740157483" header="0" footer="0"/>
  <pageSetup paperSize="5" scale="73" orientation="landscape" horizontalDpi="300" verticalDpi="300" r:id="rId1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414"/>
  <sheetViews>
    <sheetView topLeftCell="J23" zoomScale="75" workbookViewId="0">
      <selection activeCell="U23" sqref="U23"/>
    </sheetView>
  </sheetViews>
  <sheetFormatPr baseColWidth="10" defaultRowHeight="12"/>
  <cols>
    <col min="1" max="1" width="26.85546875" style="209" customWidth="1"/>
    <col min="2" max="32" width="7.140625" style="209" customWidth="1"/>
    <col min="33" max="16384" width="11.42578125" style="209"/>
  </cols>
  <sheetData>
    <row r="1" spans="1:35">
      <c r="A1" s="1225" t="s">
        <v>1057</v>
      </c>
      <c r="B1" s="1225"/>
      <c r="C1" s="1225"/>
      <c r="D1" s="1225"/>
      <c r="E1" s="1225"/>
      <c r="F1" s="1225"/>
      <c r="G1" s="1225"/>
      <c r="H1" s="1225"/>
      <c r="I1" s="1225"/>
      <c r="J1" s="1225"/>
      <c r="K1" s="1225"/>
      <c r="L1" s="1225"/>
      <c r="M1" s="1225"/>
      <c r="N1" s="1225"/>
      <c r="O1" s="1225"/>
      <c r="P1" s="1225"/>
      <c r="Q1" s="1225"/>
      <c r="R1" s="1225"/>
      <c r="S1" s="1225"/>
      <c r="T1" s="1225"/>
      <c r="U1" s="1225"/>
      <c r="V1" s="1225"/>
      <c r="W1" s="1225"/>
      <c r="X1" s="1225"/>
      <c r="Y1" s="1225"/>
      <c r="Z1" s="1225"/>
      <c r="AA1" s="1225"/>
      <c r="AB1" s="1225"/>
      <c r="AC1" s="1225"/>
      <c r="AD1" s="1225"/>
      <c r="AE1" s="1225"/>
      <c r="AF1" s="1225"/>
    </row>
    <row r="2" spans="1:35">
      <c r="A2" s="1225" t="s">
        <v>1098</v>
      </c>
      <c r="B2" s="1225"/>
      <c r="C2" s="1225"/>
      <c r="D2" s="1225"/>
      <c r="E2" s="1225"/>
      <c r="F2" s="1225"/>
      <c r="G2" s="1225"/>
      <c r="H2" s="1225"/>
      <c r="I2" s="1225"/>
      <c r="J2" s="1225"/>
      <c r="K2" s="1225"/>
      <c r="L2" s="1225"/>
      <c r="M2" s="1225"/>
      <c r="N2" s="1225"/>
      <c r="O2" s="1225"/>
      <c r="P2" s="1225"/>
      <c r="Q2" s="1225"/>
      <c r="R2" s="1225"/>
      <c r="S2" s="1225"/>
      <c r="T2" s="1225"/>
      <c r="U2" s="1225"/>
      <c r="V2" s="1225"/>
      <c r="W2" s="1225"/>
      <c r="X2" s="1225"/>
      <c r="Y2" s="1225"/>
      <c r="Z2" s="1225"/>
      <c r="AA2" s="1225"/>
      <c r="AB2" s="1225"/>
      <c r="AC2" s="1225"/>
      <c r="AD2" s="1225"/>
      <c r="AE2" s="1225"/>
      <c r="AF2" s="1225"/>
    </row>
    <row r="3" spans="1:35">
      <c r="A3" s="1225" t="s">
        <v>970</v>
      </c>
      <c r="B3" s="1225"/>
      <c r="C3" s="1225"/>
      <c r="D3" s="1225"/>
      <c r="E3" s="1225"/>
      <c r="F3" s="1225"/>
      <c r="G3" s="1225"/>
      <c r="H3" s="1225"/>
      <c r="I3" s="1225"/>
      <c r="J3" s="1225"/>
      <c r="K3" s="1225"/>
      <c r="L3" s="1225"/>
      <c r="M3" s="1225"/>
      <c r="N3" s="1225"/>
      <c r="O3" s="1225"/>
      <c r="P3" s="1225"/>
      <c r="Q3" s="1225"/>
      <c r="R3" s="1225"/>
      <c r="S3" s="1225"/>
      <c r="T3" s="1225"/>
      <c r="U3" s="1225"/>
      <c r="V3" s="1225"/>
      <c r="W3" s="1225"/>
      <c r="X3" s="1225"/>
      <c r="Y3" s="1225"/>
      <c r="Z3" s="1225"/>
      <c r="AA3" s="1225"/>
      <c r="AB3" s="1225"/>
      <c r="AC3" s="1225"/>
      <c r="AD3" s="1225"/>
      <c r="AE3" s="1225"/>
      <c r="AF3" s="1225"/>
    </row>
    <row r="6" spans="1:35">
      <c r="A6" s="407" t="s">
        <v>1059</v>
      </c>
    </row>
    <row r="7" spans="1:35" ht="18" customHeight="1">
      <c r="A7" s="346" t="s">
        <v>1060</v>
      </c>
      <c r="B7" s="1249" t="s">
        <v>1061</v>
      </c>
      <c r="C7" s="1250"/>
      <c r="D7" s="1250"/>
      <c r="E7" s="1251"/>
      <c r="F7" s="1250" t="s">
        <v>976</v>
      </c>
      <c r="G7" s="1250"/>
      <c r="H7" s="1250"/>
      <c r="I7" s="1251"/>
      <c r="J7" s="1250" t="s">
        <v>1062</v>
      </c>
      <c r="K7" s="1250"/>
      <c r="L7" s="1250"/>
      <c r="M7" s="1250"/>
      <c r="N7" s="1249" t="s">
        <v>1026</v>
      </c>
      <c r="O7" s="1250"/>
      <c r="P7" s="1250"/>
      <c r="Q7" s="1251"/>
      <c r="R7" s="1249" t="s">
        <v>1363</v>
      </c>
      <c r="S7" s="1250"/>
      <c r="T7" s="1251"/>
      <c r="U7" s="1220" t="s">
        <v>1101</v>
      </c>
      <c r="V7" s="1221"/>
      <c r="W7" s="1221"/>
      <c r="X7" s="1222"/>
      <c r="Y7" s="1220" t="str">
        <f>+'58'!Y7:AB7</f>
        <v>CONS. LOS ANDES N°1 MUNICIPAL</v>
      </c>
      <c r="Z7" s="1221"/>
      <c r="AA7" s="1221"/>
      <c r="AB7" s="1222"/>
      <c r="AC7" s="1250"/>
      <c r="AD7" s="1250"/>
      <c r="AE7" s="1250"/>
      <c r="AF7" s="1251"/>
    </row>
    <row r="8" spans="1:35" ht="18" customHeight="1">
      <c r="A8" s="15"/>
      <c r="B8" s="545">
        <f>+'58'!B8</f>
        <v>2011</v>
      </c>
      <c r="C8" s="539">
        <f>+'58'!C8</f>
        <v>2012</v>
      </c>
      <c r="D8" s="539">
        <f>+'58'!D8</f>
        <v>2013</v>
      </c>
      <c r="E8" s="544">
        <f>+'58'!E8</f>
        <v>2014</v>
      </c>
      <c r="F8" s="539">
        <f>+'58'!F8</f>
        <v>2011</v>
      </c>
      <c r="G8" s="539">
        <f>+'58'!G8</f>
        <v>2012</v>
      </c>
      <c r="H8" s="539">
        <f>+'58'!H8</f>
        <v>2013</v>
      </c>
      <c r="I8" s="544">
        <f>+'58'!I8</f>
        <v>2014</v>
      </c>
      <c r="J8" s="539">
        <f>+'58'!J8</f>
        <v>2011</v>
      </c>
      <c r="K8" s="539">
        <f>+'58'!K8</f>
        <v>2012</v>
      </c>
      <c r="L8" s="539">
        <f>+'58'!L8</f>
        <v>2013</v>
      </c>
      <c r="M8" s="549">
        <f>+'58'!M8</f>
        <v>2014</v>
      </c>
      <c r="N8" s="550">
        <f>+'58'!N8</f>
        <v>2011</v>
      </c>
      <c r="O8" s="547">
        <f>+'58'!O8</f>
        <v>2012</v>
      </c>
      <c r="P8" s="547">
        <f>+'58'!P8</f>
        <v>2013</v>
      </c>
      <c r="Q8" s="548">
        <f>+'58'!Q8</f>
        <v>2014</v>
      </c>
      <c r="R8" s="385">
        <f>+O8</f>
        <v>2012</v>
      </c>
      <c r="S8" s="1168">
        <f>+P8</f>
        <v>2013</v>
      </c>
      <c r="T8" s="387">
        <f>+Q8</f>
        <v>2014</v>
      </c>
      <c r="U8" s="550">
        <f>+'58'!U8</f>
        <v>2011</v>
      </c>
      <c r="V8" s="547">
        <f>+'58'!V8</f>
        <v>2012</v>
      </c>
      <c r="W8" s="547">
        <f>+'58'!W8</f>
        <v>2013</v>
      </c>
      <c r="X8" s="548">
        <f>+'58'!X8</f>
        <v>2014</v>
      </c>
      <c r="Y8" s="539">
        <f>+'58'!Y8</f>
        <v>2011</v>
      </c>
      <c r="Z8" s="539">
        <f>+'58'!Z8</f>
        <v>2012</v>
      </c>
      <c r="AA8" s="539">
        <f>+'58'!AA8</f>
        <v>2013</v>
      </c>
      <c r="AB8" s="544">
        <f>+'58'!AB8</f>
        <v>2014</v>
      </c>
      <c r="AC8" s="539">
        <f>+'58'!AC8</f>
        <v>2011</v>
      </c>
      <c r="AD8" s="539">
        <f>+'58'!AD8</f>
        <v>2012</v>
      </c>
      <c r="AE8" s="539">
        <f>+'58'!AE8</f>
        <v>2013</v>
      </c>
      <c r="AF8" s="544">
        <f>+'58'!AF8</f>
        <v>2014</v>
      </c>
    </row>
    <row r="9" spans="1:35" ht="18" customHeight="1">
      <c r="A9" s="551" t="s">
        <v>1063</v>
      </c>
      <c r="B9" s="552">
        <v>794</v>
      </c>
      <c r="C9" s="556">
        <v>1030</v>
      </c>
      <c r="D9" s="556">
        <v>1044</v>
      </c>
      <c r="E9" s="541">
        <v>1200</v>
      </c>
      <c r="F9" s="556">
        <v>1306</v>
      </c>
      <c r="G9" s="556">
        <v>1087</v>
      </c>
      <c r="H9" s="556">
        <v>1129</v>
      </c>
      <c r="I9" s="541">
        <v>1070</v>
      </c>
      <c r="J9" s="1088"/>
      <c r="K9" s="1087"/>
      <c r="L9" s="1087"/>
      <c r="M9" s="553"/>
      <c r="N9" s="552"/>
      <c r="O9" s="552"/>
      <c r="P9" s="552"/>
      <c r="Q9" s="552"/>
      <c r="R9" s="377"/>
      <c r="S9" s="378"/>
      <c r="T9" s="500"/>
      <c r="U9" s="554"/>
      <c r="V9" s="552"/>
      <c r="W9" s="552"/>
      <c r="X9" s="553"/>
      <c r="Y9" s="552"/>
      <c r="Z9" s="552"/>
      <c r="AA9" s="552"/>
      <c r="AB9" s="553"/>
      <c r="AC9" s="556">
        <f>+N9+J9+F9+B9+U9</f>
        <v>2100</v>
      </c>
      <c r="AD9" s="556">
        <f t="shared" ref="AD9:AF10" si="0">+O9+K9+G9+C9+V9+Z9</f>
        <v>2117</v>
      </c>
      <c r="AE9" s="556">
        <f t="shared" si="0"/>
        <v>2173</v>
      </c>
      <c r="AF9" s="541">
        <f t="shared" si="0"/>
        <v>2270</v>
      </c>
    </row>
    <row r="10" spans="1:35" ht="18" customHeight="1">
      <c r="A10" s="555" t="s">
        <v>1064</v>
      </c>
      <c r="B10" s="556">
        <v>351</v>
      </c>
      <c r="C10" s="556">
        <v>289</v>
      </c>
      <c r="D10" s="556">
        <v>324</v>
      </c>
      <c r="E10" s="541">
        <v>353</v>
      </c>
      <c r="F10" s="556">
        <v>189</v>
      </c>
      <c r="G10" s="556">
        <v>167</v>
      </c>
      <c r="H10" s="556">
        <v>116</v>
      </c>
      <c r="I10" s="541">
        <v>126</v>
      </c>
      <c r="J10" s="557"/>
      <c r="K10" s="556"/>
      <c r="L10" s="556"/>
      <c r="M10" s="541"/>
      <c r="N10" s="556"/>
      <c r="O10" s="556"/>
      <c r="P10" s="556"/>
      <c r="Q10" s="556"/>
      <c r="R10" s="377"/>
      <c r="S10" s="378"/>
      <c r="T10" s="500"/>
      <c r="U10" s="557"/>
      <c r="V10" s="556"/>
      <c r="W10" s="556"/>
      <c r="X10" s="541"/>
      <c r="Y10" s="556"/>
      <c r="Z10" s="556"/>
      <c r="AA10" s="556"/>
      <c r="AB10" s="541"/>
      <c r="AC10" s="556">
        <f>+N10+J10+F10+B10+U10</f>
        <v>540</v>
      </c>
      <c r="AD10" s="556">
        <f t="shared" si="0"/>
        <v>456</v>
      </c>
      <c r="AE10" s="556">
        <f t="shared" si="0"/>
        <v>440</v>
      </c>
      <c r="AF10" s="541">
        <f t="shared" si="0"/>
        <v>479</v>
      </c>
      <c r="AG10" s="558"/>
      <c r="AH10" s="558"/>
      <c r="AI10" s="558"/>
    </row>
    <row r="11" spans="1:35" ht="18" customHeight="1">
      <c r="A11" s="555" t="s">
        <v>1065</v>
      </c>
      <c r="B11" s="556"/>
      <c r="C11" s="556"/>
      <c r="D11" s="556"/>
      <c r="E11" s="541"/>
      <c r="F11" s="556"/>
      <c r="G11" s="556"/>
      <c r="H11" s="556"/>
      <c r="I11" s="541"/>
      <c r="J11" s="557"/>
      <c r="K11" s="556"/>
      <c r="L11" s="556"/>
      <c r="M11" s="541"/>
      <c r="N11" s="556"/>
      <c r="O11" s="556"/>
      <c r="P11" s="556"/>
      <c r="Q11" s="556"/>
      <c r="R11" s="377"/>
      <c r="S11" s="378"/>
      <c r="T11" s="500"/>
      <c r="U11" s="557"/>
      <c r="V11" s="556"/>
      <c r="W11" s="556"/>
      <c r="X11" s="541"/>
      <c r="Y11" s="556"/>
      <c r="Z11" s="556"/>
      <c r="AA11" s="556"/>
      <c r="AB11" s="541"/>
      <c r="AC11" s="556">
        <f t="shared" ref="AC11:AC35" si="1">+N11+J11+F11+B11+U11</f>
        <v>0</v>
      </c>
      <c r="AD11" s="556">
        <f t="shared" ref="AD11:AD35" si="2">+O11+K11+G11+C11+V11+Z11</f>
        <v>0</v>
      </c>
      <c r="AE11" s="556">
        <f t="shared" ref="AE11:AE35" si="3">+P11+L11+H11+D11+W11+AA11</f>
        <v>0</v>
      </c>
      <c r="AF11" s="541">
        <f t="shared" ref="AF11:AF35" si="4">+Q11+M11+I11+E11+X11+AB11</f>
        <v>0</v>
      </c>
      <c r="AG11" s="558"/>
      <c r="AH11" s="558"/>
      <c r="AI11" s="558"/>
    </row>
    <row r="12" spans="1:35" ht="18" customHeight="1">
      <c r="A12" s="95" t="s">
        <v>1066</v>
      </c>
      <c r="B12" s="556"/>
      <c r="C12" s="556"/>
      <c r="D12" s="556"/>
      <c r="E12" s="541"/>
      <c r="F12" s="556">
        <v>53</v>
      </c>
      <c r="G12" s="556">
        <v>51</v>
      </c>
      <c r="H12" s="556">
        <v>35</v>
      </c>
      <c r="I12" s="541">
        <v>14</v>
      </c>
      <c r="J12" s="557"/>
      <c r="K12" s="556"/>
      <c r="L12" s="556"/>
      <c r="M12" s="541"/>
      <c r="N12" s="556"/>
      <c r="O12" s="556"/>
      <c r="P12" s="556"/>
      <c r="Q12" s="556"/>
      <c r="R12" s="377"/>
      <c r="S12" s="378"/>
      <c r="T12" s="500"/>
      <c r="U12" s="557"/>
      <c r="V12" s="556"/>
      <c r="W12" s="556"/>
      <c r="X12" s="541"/>
      <c r="Y12" s="556"/>
      <c r="Z12" s="556"/>
      <c r="AA12" s="556"/>
      <c r="AB12" s="541"/>
      <c r="AC12" s="556">
        <f t="shared" si="1"/>
        <v>53</v>
      </c>
      <c r="AD12" s="556">
        <f t="shared" si="2"/>
        <v>51</v>
      </c>
      <c r="AE12" s="556">
        <f t="shared" si="3"/>
        <v>35</v>
      </c>
      <c r="AF12" s="541">
        <f t="shared" si="4"/>
        <v>14</v>
      </c>
      <c r="AG12" s="558"/>
      <c r="AH12" s="558"/>
      <c r="AI12" s="558"/>
    </row>
    <row r="13" spans="1:35" ht="18" customHeight="1">
      <c r="A13" s="555" t="s">
        <v>1099</v>
      </c>
      <c r="B13" s="556">
        <v>222</v>
      </c>
      <c r="C13" s="556">
        <v>231</v>
      </c>
      <c r="D13" s="556">
        <v>251</v>
      </c>
      <c r="E13" s="541">
        <v>265</v>
      </c>
      <c r="F13" s="556">
        <v>16</v>
      </c>
      <c r="G13" s="556">
        <v>8</v>
      </c>
      <c r="H13" s="556">
        <v>9</v>
      </c>
      <c r="I13" s="541">
        <v>8</v>
      </c>
      <c r="J13" s="557"/>
      <c r="K13" s="556"/>
      <c r="L13" s="556"/>
      <c r="M13" s="541"/>
      <c r="N13" s="556"/>
      <c r="O13" s="556"/>
      <c r="P13" s="556"/>
      <c r="Q13" s="556"/>
      <c r="R13" s="377"/>
      <c r="S13" s="378"/>
      <c r="T13" s="500"/>
      <c r="U13" s="557"/>
      <c r="V13" s="556"/>
      <c r="W13" s="556"/>
      <c r="X13" s="541"/>
      <c r="Y13" s="556"/>
      <c r="Z13" s="556"/>
      <c r="AA13" s="556"/>
      <c r="AB13" s="541"/>
      <c r="AC13" s="556">
        <f t="shared" si="1"/>
        <v>238</v>
      </c>
      <c r="AD13" s="556">
        <f t="shared" si="2"/>
        <v>239</v>
      </c>
      <c r="AE13" s="556">
        <f t="shared" si="3"/>
        <v>260</v>
      </c>
      <c r="AF13" s="541">
        <f t="shared" si="4"/>
        <v>273</v>
      </c>
      <c r="AG13" s="558"/>
      <c r="AH13" s="558"/>
      <c r="AI13" s="558"/>
    </row>
    <row r="14" spans="1:35" ht="18" customHeight="1">
      <c r="A14" s="540" t="s">
        <v>1068</v>
      </c>
      <c r="B14" s="556"/>
      <c r="C14" s="556"/>
      <c r="D14" s="556"/>
      <c r="E14" s="541"/>
      <c r="F14" s="556">
        <v>62</v>
      </c>
      <c r="G14" s="556">
        <v>79</v>
      </c>
      <c r="H14" s="556">
        <v>29</v>
      </c>
      <c r="I14" s="541">
        <v>28</v>
      </c>
      <c r="J14" s="557"/>
      <c r="K14" s="556"/>
      <c r="L14" s="556"/>
      <c r="M14" s="541"/>
      <c r="N14" s="556"/>
      <c r="O14" s="556"/>
      <c r="P14" s="556"/>
      <c r="Q14" s="541"/>
      <c r="R14" s="377"/>
      <c r="S14" s="378"/>
      <c r="T14" s="500"/>
      <c r="U14" s="556"/>
      <c r="V14" s="556"/>
      <c r="W14" s="556"/>
      <c r="X14" s="541"/>
      <c r="Y14" s="556"/>
      <c r="Z14" s="556"/>
      <c r="AA14" s="556"/>
      <c r="AB14" s="541"/>
      <c r="AC14" s="556">
        <f t="shared" si="1"/>
        <v>62</v>
      </c>
      <c r="AD14" s="556">
        <f t="shared" si="2"/>
        <v>79</v>
      </c>
      <c r="AE14" s="556">
        <f t="shared" si="3"/>
        <v>29</v>
      </c>
      <c r="AF14" s="541">
        <f t="shared" si="4"/>
        <v>28</v>
      </c>
      <c r="AG14" s="558"/>
      <c r="AH14" s="558"/>
      <c r="AI14" s="558"/>
    </row>
    <row r="15" spans="1:35" ht="18" customHeight="1">
      <c r="A15" s="540" t="s">
        <v>1069</v>
      </c>
      <c r="B15" s="556">
        <v>11</v>
      </c>
      <c r="C15" s="556">
        <v>9</v>
      </c>
      <c r="D15" s="556">
        <v>10</v>
      </c>
      <c r="E15" s="541">
        <v>22</v>
      </c>
      <c r="F15" s="556">
        <v>8</v>
      </c>
      <c r="G15" s="556">
        <v>6</v>
      </c>
      <c r="H15" s="556">
        <v>10</v>
      </c>
      <c r="I15" s="541">
        <v>8</v>
      </c>
      <c r="J15" s="557"/>
      <c r="K15" s="556"/>
      <c r="L15" s="556"/>
      <c r="M15" s="541"/>
      <c r="N15" s="556"/>
      <c r="O15" s="556"/>
      <c r="P15" s="556"/>
      <c r="Q15" s="541"/>
      <c r="R15" s="377"/>
      <c r="S15" s="378"/>
      <c r="T15" s="500"/>
      <c r="U15" s="556"/>
      <c r="V15" s="556"/>
      <c r="W15" s="556"/>
      <c r="X15" s="541"/>
      <c r="Y15" s="556"/>
      <c r="Z15" s="556"/>
      <c r="AA15" s="556"/>
      <c r="AB15" s="541"/>
      <c r="AC15" s="556">
        <f t="shared" si="1"/>
        <v>19</v>
      </c>
      <c r="AD15" s="556">
        <f t="shared" si="2"/>
        <v>15</v>
      </c>
      <c r="AE15" s="556">
        <f t="shared" si="3"/>
        <v>20</v>
      </c>
      <c r="AF15" s="541">
        <f t="shared" si="4"/>
        <v>30</v>
      </c>
      <c r="AG15" s="558"/>
      <c r="AH15" s="558"/>
      <c r="AI15" s="558"/>
    </row>
    <row r="16" spans="1:35" ht="18" customHeight="1">
      <c r="A16" s="540" t="s">
        <v>1070</v>
      </c>
      <c r="B16" s="556">
        <v>14</v>
      </c>
      <c r="C16" s="556">
        <v>16</v>
      </c>
      <c r="D16" s="556">
        <v>10</v>
      </c>
      <c r="E16" s="541">
        <v>15</v>
      </c>
      <c r="F16" s="556"/>
      <c r="G16" s="556"/>
      <c r="H16" s="556"/>
      <c r="I16" s="541"/>
      <c r="J16" s="557"/>
      <c r="K16" s="556"/>
      <c r="L16" s="556"/>
      <c r="M16" s="541"/>
      <c r="N16" s="556"/>
      <c r="O16" s="556"/>
      <c r="P16" s="556"/>
      <c r="Q16" s="541"/>
      <c r="R16" s="377"/>
      <c r="S16" s="378"/>
      <c r="T16" s="500"/>
      <c r="U16" s="556"/>
      <c r="V16" s="556"/>
      <c r="W16" s="556"/>
      <c r="X16" s="541"/>
      <c r="Y16" s="556"/>
      <c r="Z16" s="556"/>
      <c r="AA16" s="556"/>
      <c r="AB16" s="541"/>
      <c r="AC16" s="556">
        <f t="shared" si="1"/>
        <v>14</v>
      </c>
      <c r="AD16" s="556">
        <f t="shared" si="2"/>
        <v>16</v>
      </c>
      <c r="AE16" s="556">
        <f t="shared" si="3"/>
        <v>10</v>
      </c>
      <c r="AF16" s="541">
        <f t="shared" si="4"/>
        <v>15</v>
      </c>
      <c r="AG16" s="558"/>
      <c r="AH16" s="558"/>
      <c r="AI16" s="558"/>
    </row>
    <row r="17" spans="1:35" ht="18" customHeight="1">
      <c r="A17" s="540" t="s">
        <v>1071</v>
      </c>
      <c r="B17" s="556">
        <v>39</v>
      </c>
      <c r="C17" s="556">
        <v>24</v>
      </c>
      <c r="D17" s="556">
        <v>7</v>
      </c>
      <c r="E17" s="541">
        <v>22</v>
      </c>
      <c r="F17" s="556"/>
      <c r="G17" s="556"/>
      <c r="H17" s="556"/>
      <c r="I17" s="541"/>
      <c r="J17" s="557"/>
      <c r="K17" s="556"/>
      <c r="L17" s="556"/>
      <c r="M17" s="541"/>
      <c r="N17" s="556"/>
      <c r="O17" s="556"/>
      <c r="P17" s="556"/>
      <c r="Q17" s="541"/>
      <c r="R17" s="377"/>
      <c r="S17" s="378"/>
      <c r="T17" s="500"/>
      <c r="U17" s="556"/>
      <c r="V17" s="556"/>
      <c r="W17" s="556"/>
      <c r="X17" s="541"/>
      <c r="Y17" s="556"/>
      <c r="Z17" s="556"/>
      <c r="AA17" s="556"/>
      <c r="AB17" s="541"/>
      <c r="AC17" s="556">
        <f t="shared" si="1"/>
        <v>39</v>
      </c>
      <c r="AD17" s="556">
        <f t="shared" si="2"/>
        <v>24</v>
      </c>
      <c r="AE17" s="556">
        <f t="shared" si="3"/>
        <v>7</v>
      </c>
      <c r="AF17" s="541">
        <f t="shared" si="4"/>
        <v>22</v>
      </c>
      <c r="AG17" s="558"/>
      <c r="AH17" s="558"/>
      <c r="AI17" s="558"/>
    </row>
    <row r="18" spans="1:35" ht="18" customHeight="1">
      <c r="A18" s="540" t="s">
        <v>1072</v>
      </c>
      <c r="B18" s="556"/>
      <c r="C18" s="556"/>
      <c r="D18" s="556"/>
      <c r="E18" s="541"/>
      <c r="F18" s="556">
        <v>65</v>
      </c>
      <c r="G18" s="556">
        <v>48</v>
      </c>
      <c r="H18" s="556">
        <v>23</v>
      </c>
      <c r="I18" s="541">
        <v>14</v>
      </c>
      <c r="J18" s="557"/>
      <c r="K18" s="556"/>
      <c r="L18" s="556"/>
      <c r="M18" s="541"/>
      <c r="N18" s="556"/>
      <c r="O18" s="556"/>
      <c r="P18" s="556"/>
      <c r="Q18" s="541"/>
      <c r="R18" s="377"/>
      <c r="S18" s="378"/>
      <c r="T18" s="500"/>
      <c r="U18" s="556"/>
      <c r="V18" s="556"/>
      <c r="W18" s="556"/>
      <c r="X18" s="541"/>
      <c r="Y18" s="556"/>
      <c r="Z18" s="556"/>
      <c r="AA18" s="556"/>
      <c r="AB18" s="541"/>
      <c r="AC18" s="556">
        <f t="shared" si="1"/>
        <v>65</v>
      </c>
      <c r="AD18" s="556">
        <f t="shared" si="2"/>
        <v>48</v>
      </c>
      <c r="AE18" s="556">
        <f t="shared" si="3"/>
        <v>23</v>
      </c>
      <c r="AF18" s="541">
        <f t="shared" si="4"/>
        <v>14</v>
      </c>
      <c r="AG18" s="558"/>
      <c r="AH18" s="558"/>
      <c r="AI18" s="558"/>
    </row>
    <row r="19" spans="1:35" ht="18" customHeight="1">
      <c r="A19" s="555" t="s">
        <v>1073</v>
      </c>
      <c r="B19" s="556"/>
      <c r="C19" s="556"/>
      <c r="D19" s="556"/>
      <c r="E19" s="541"/>
      <c r="F19" s="556">
        <v>855</v>
      </c>
      <c r="G19" s="556">
        <v>743</v>
      </c>
      <c r="H19" s="556">
        <v>812</v>
      </c>
      <c r="I19" s="541">
        <v>720</v>
      </c>
      <c r="J19" s="557"/>
      <c r="K19" s="556"/>
      <c r="L19" s="556"/>
      <c r="M19" s="541"/>
      <c r="N19" s="556"/>
      <c r="O19" s="556"/>
      <c r="P19" s="556"/>
      <c r="Q19" s="541"/>
      <c r="R19" s="377"/>
      <c r="S19" s="378"/>
      <c r="T19" s="500"/>
      <c r="U19" s="556"/>
      <c r="V19" s="556"/>
      <c r="W19" s="556"/>
      <c r="X19" s="541"/>
      <c r="Y19" s="556"/>
      <c r="Z19" s="556"/>
      <c r="AA19" s="556"/>
      <c r="AB19" s="541"/>
      <c r="AC19" s="556">
        <f t="shared" si="1"/>
        <v>855</v>
      </c>
      <c r="AD19" s="556">
        <f t="shared" si="2"/>
        <v>743</v>
      </c>
      <c r="AE19" s="556">
        <f t="shared" si="3"/>
        <v>812</v>
      </c>
      <c r="AF19" s="541">
        <f t="shared" si="4"/>
        <v>720</v>
      </c>
      <c r="AG19" s="558"/>
      <c r="AH19" s="558"/>
      <c r="AI19" s="558"/>
    </row>
    <row r="20" spans="1:35" ht="18" customHeight="1">
      <c r="A20" s="555" t="s">
        <v>1074</v>
      </c>
      <c r="B20" s="556"/>
      <c r="C20" s="556"/>
      <c r="D20" s="556"/>
      <c r="E20" s="541"/>
      <c r="F20" s="556">
        <v>40</v>
      </c>
      <c r="G20" s="556">
        <v>18</v>
      </c>
      <c r="H20" s="556">
        <v>71</v>
      </c>
      <c r="I20" s="541">
        <v>64</v>
      </c>
      <c r="J20" s="557"/>
      <c r="K20" s="556"/>
      <c r="L20" s="556"/>
      <c r="M20" s="541"/>
      <c r="N20" s="556"/>
      <c r="O20" s="556"/>
      <c r="P20" s="556"/>
      <c r="Q20" s="541"/>
      <c r="R20" s="377"/>
      <c r="S20" s="378"/>
      <c r="T20" s="500"/>
      <c r="U20" s="556"/>
      <c r="V20" s="556"/>
      <c r="W20" s="556"/>
      <c r="X20" s="541"/>
      <c r="Y20" s="556"/>
      <c r="Z20" s="556"/>
      <c r="AA20" s="556"/>
      <c r="AB20" s="541"/>
      <c r="AC20" s="556">
        <f t="shared" si="1"/>
        <v>40</v>
      </c>
      <c r="AD20" s="556">
        <f t="shared" si="2"/>
        <v>18</v>
      </c>
      <c r="AE20" s="556">
        <f t="shared" si="3"/>
        <v>71</v>
      </c>
      <c r="AF20" s="541">
        <f t="shared" si="4"/>
        <v>64</v>
      </c>
      <c r="AG20" s="558"/>
      <c r="AH20" s="558"/>
      <c r="AI20" s="558"/>
    </row>
    <row r="21" spans="1:35" ht="18" customHeight="1">
      <c r="A21" s="1077" t="s">
        <v>863</v>
      </c>
      <c r="B21" s="556"/>
      <c r="C21" s="556"/>
      <c r="D21" s="556"/>
      <c r="E21" s="541"/>
      <c r="F21" s="556"/>
      <c r="G21" s="556">
        <v>11</v>
      </c>
      <c r="H21" s="556">
        <v>2</v>
      </c>
      <c r="I21" s="541">
        <v>11</v>
      </c>
      <c r="J21" s="557"/>
      <c r="K21" s="556"/>
      <c r="L21" s="556"/>
      <c r="M21" s="541"/>
      <c r="N21" s="556"/>
      <c r="O21" s="556"/>
      <c r="P21" s="556"/>
      <c r="Q21" s="541"/>
      <c r="R21" s="377"/>
      <c r="S21" s="378"/>
      <c r="T21" s="500"/>
      <c r="U21" s="556"/>
      <c r="V21" s="556"/>
      <c r="W21" s="556"/>
      <c r="X21" s="541"/>
      <c r="Y21" s="556"/>
      <c r="Z21" s="556"/>
      <c r="AA21" s="556"/>
      <c r="AB21" s="541"/>
      <c r="AC21" s="556">
        <f>+N21+J21+F21+B21+U21</f>
        <v>0</v>
      </c>
      <c r="AD21" s="556">
        <f t="shared" si="2"/>
        <v>11</v>
      </c>
      <c r="AE21" s="556">
        <f t="shared" si="3"/>
        <v>2</v>
      </c>
      <c r="AF21" s="541">
        <f t="shared" si="4"/>
        <v>11</v>
      </c>
      <c r="AG21" s="558"/>
      <c r="AH21" s="558"/>
      <c r="AI21" s="558"/>
    </row>
    <row r="22" spans="1:35" ht="18" customHeight="1">
      <c r="A22" s="555" t="s">
        <v>1075</v>
      </c>
      <c r="B22" s="556">
        <v>990</v>
      </c>
      <c r="C22" s="556">
        <v>1393</v>
      </c>
      <c r="D22" s="556">
        <v>1577</v>
      </c>
      <c r="E22" s="541">
        <v>1455</v>
      </c>
      <c r="F22" s="556">
        <v>10</v>
      </c>
      <c r="G22" s="556">
        <v>2</v>
      </c>
      <c r="H22" s="556">
        <v>1</v>
      </c>
      <c r="I22" s="541">
        <v>4</v>
      </c>
      <c r="J22" s="557"/>
      <c r="K22" s="556"/>
      <c r="L22" s="556"/>
      <c r="M22" s="541"/>
      <c r="N22" s="556"/>
      <c r="O22" s="556"/>
      <c r="P22" s="556"/>
      <c r="Q22" s="541"/>
      <c r="R22" s="377"/>
      <c r="S22" s="378"/>
      <c r="T22" s="500"/>
      <c r="U22" s="556"/>
      <c r="V22" s="556"/>
      <c r="W22" s="556"/>
      <c r="X22" s="541"/>
      <c r="Y22" s="556"/>
      <c r="Z22" s="556"/>
      <c r="AA22" s="556"/>
      <c r="AB22" s="541"/>
      <c r="AC22" s="556">
        <f t="shared" si="1"/>
        <v>1000</v>
      </c>
      <c r="AD22" s="556">
        <f t="shared" si="2"/>
        <v>1395</v>
      </c>
      <c r="AE22" s="556">
        <f t="shared" si="3"/>
        <v>1578</v>
      </c>
      <c r="AF22" s="541">
        <f t="shared" si="4"/>
        <v>1459</v>
      </c>
      <c r="AG22" s="558"/>
      <c r="AH22" s="558"/>
      <c r="AI22" s="558"/>
    </row>
    <row r="23" spans="1:35" ht="18" customHeight="1">
      <c r="A23" s="555" t="s">
        <v>1076</v>
      </c>
      <c r="B23" s="556"/>
      <c r="C23" s="556"/>
      <c r="D23" s="556"/>
      <c r="E23" s="541"/>
      <c r="F23" s="556"/>
      <c r="G23" s="556"/>
      <c r="H23" s="556"/>
      <c r="I23" s="541"/>
      <c r="J23" s="557"/>
      <c r="K23" s="556"/>
      <c r="L23" s="556"/>
      <c r="M23" s="541"/>
      <c r="N23" s="556">
        <v>972</v>
      </c>
      <c r="O23" s="556">
        <v>1067</v>
      </c>
      <c r="P23" s="556">
        <v>729</v>
      </c>
      <c r="Q23" s="541">
        <v>754</v>
      </c>
      <c r="R23" s="377">
        <v>27</v>
      </c>
      <c r="S23" s="378">
        <v>27</v>
      </c>
      <c r="T23" s="500">
        <v>14</v>
      </c>
      <c r="U23" s="556"/>
      <c r="V23" s="556"/>
      <c r="W23" s="556"/>
      <c r="X23" s="541"/>
      <c r="Y23" s="556"/>
      <c r="Z23" s="556"/>
      <c r="AA23" s="556"/>
      <c r="AB23" s="541"/>
      <c r="AC23" s="556">
        <f t="shared" si="1"/>
        <v>972</v>
      </c>
      <c r="AD23" s="556">
        <f>+O23+K23+G23+C23+R23+V23+Z23</f>
        <v>1094</v>
      </c>
      <c r="AE23" s="556">
        <f>+P23+L23+H23+D23+S23+W23+AA23</f>
        <v>756</v>
      </c>
      <c r="AF23" s="541">
        <f>+Q23+M23+I23+E23+T23+X23+AB23</f>
        <v>768</v>
      </c>
      <c r="AG23" s="558"/>
      <c r="AH23" s="558"/>
      <c r="AI23" s="558"/>
    </row>
    <row r="24" spans="1:35" ht="18" customHeight="1">
      <c r="A24" s="555" t="s">
        <v>1077</v>
      </c>
      <c r="B24" s="556">
        <v>975</v>
      </c>
      <c r="C24" s="556">
        <v>987</v>
      </c>
      <c r="D24" s="556">
        <v>706</v>
      </c>
      <c r="E24" s="541">
        <v>582</v>
      </c>
      <c r="F24" s="556">
        <v>493</v>
      </c>
      <c r="G24" s="556">
        <v>475</v>
      </c>
      <c r="H24" s="556">
        <v>313</v>
      </c>
      <c r="I24" s="541">
        <v>281</v>
      </c>
      <c r="J24" s="557"/>
      <c r="K24" s="556"/>
      <c r="L24" s="556"/>
      <c r="M24" s="541"/>
      <c r="N24" s="556"/>
      <c r="O24" s="556"/>
      <c r="P24" s="556"/>
      <c r="Q24" s="541"/>
      <c r="R24" s="377"/>
      <c r="S24" s="378"/>
      <c r="T24" s="500"/>
      <c r="U24" s="556"/>
      <c r="V24" s="556"/>
      <c r="W24" s="556"/>
      <c r="X24" s="541"/>
      <c r="Y24" s="556"/>
      <c r="Z24" s="556"/>
      <c r="AA24" s="556"/>
      <c r="AB24" s="541"/>
      <c r="AC24" s="556">
        <f>+N24+J24+F24+B24+U24</f>
        <v>1468</v>
      </c>
      <c r="AD24" s="556">
        <f t="shared" si="2"/>
        <v>1462</v>
      </c>
      <c r="AE24" s="556">
        <f t="shared" si="3"/>
        <v>1019</v>
      </c>
      <c r="AF24" s="541">
        <f t="shared" si="4"/>
        <v>863</v>
      </c>
      <c r="AG24" s="558"/>
      <c r="AH24" s="558"/>
      <c r="AI24" s="558"/>
    </row>
    <row r="25" spans="1:35" ht="18" customHeight="1">
      <c r="A25" s="95" t="s">
        <v>1078</v>
      </c>
      <c r="B25" s="556"/>
      <c r="C25" s="556"/>
      <c r="D25" s="556"/>
      <c r="E25" s="541"/>
      <c r="F25" s="556">
        <v>40</v>
      </c>
      <c r="G25" s="556">
        <v>22</v>
      </c>
      <c r="H25" s="556">
        <v>21</v>
      </c>
      <c r="I25" s="541">
        <v>21</v>
      </c>
      <c r="J25" s="557"/>
      <c r="K25" s="556"/>
      <c r="L25" s="556"/>
      <c r="M25" s="541"/>
      <c r="N25" s="556"/>
      <c r="O25" s="556"/>
      <c r="P25" s="556"/>
      <c r="Q25" s="541"/>
      <c r="R25" s="377"/>
      <c r="S25" s="378"/>
      <c r="T25" s="500"/>
      <c r="U25" s="556"/>
      <c r="V25" s="556"/>
      <c r="W25" s="556"/>
      <c r="X25" s="541"/>
      <c r="Y25" s="556"/>
      <c r="Z25" s="556"/>
      <c r="AA25" s="556"/>
      <c r="AB25" s="541"/>
      <c r="AC25" s="556">
        <f t="shared" si="1"/>
        <v>40</v>
      </c>
      <c r="AD25" s="556">
        <f t="shared" si="2"/>
        <v>22</v>
      </c>
      <c r="AE25" s="556">
        <f t="shared" si="3"/>
        <v>21</v>
      </c>
      <c r="AF25" s="541">
        <f t="shared" si="4"/>
        <v>21</v>
      </c>
      <c r="AG25" s="558"/>
      <c r="AH25" s="558"/>
      <c r="AI25" s="558"/>
    </row>
    <row r="26" spans="1:35" ht="18" customHeight="1">
      <c r="A26" s="1077" t="s">
        <v>1198</v>
      </c>
      <c r="B26" s="556"/>
      <c r="C26" s="556"/>
      <c r="D26" s="556"/>
      <c r="E26" s="541"/>
      <c r="F26" s="556">
        <v>28</v>
      </c>
      <c r="G26" s="556"/>
      <c r="H26" s="556"/>
      <c r="I26" s="541"/>
      <c r="J26" s="557"/>
      <c r="K26" s="556"/>
      <c r="L26" s="556"/>
      <c r="M26" s="541"/>
      <c r="N26" s="556"/>
      <c r="O26" s="556"/>
      <c r="P26" s="556"/>
      <c r="Q26" s="541"/>
      <c r="R26" s="377"/>
      <c r="S26" s="378"/>
      <c r="T26" s="500"/>
      <c r="U26" s="556"/>
      <c r="V26" s="556"/>
      <c r="W26" s="556"/>
      <c r="X26" s="541"/>
      <c r="Y26" s="556"/>
      <c r="Z26" s="556"/>
      <c r="AA26" s="556"/>
      <c r="AB26" s="541"/>
      <c r="AC26" s="556">
        <f>+N26+J26+F26+B26+U26</f>
        <v>28</v>
      </c>
      <c r="AD26" s="556">
        <f t="shared" si="2"/>
        <v>0</v>
      </c>
      <c r="AE26" s="556">
        <f t="shared" si="3"/>
        <v>0</v>
      </c>
      <c r="AF26" s="541">
        <f t="shared" si="4"/>
        <v>0</v>
      </c>
      <c r="AG26" s="558"/>
      <c r="AH26" s="558"/>
      <c r="AI26" s="558"/>
    </row>
    <row r="27" spans="1:35" ht="18" customHeight="1">
      <c r="A27" s="95" t="s">
        <v>1079</v>
      </c>
      <c r="B27" s="556"/>
      <c r="C27" s="556"/>
      <c r="D27" s="556"/>
      <c r="E27" s="541"/>
      <c r="F27" s="556">
        <v>88</v>
      </c>
      <c r="G27" s="556">
        <v>74</v>
      </c>
      <c r="H27" s="556">
        <v>83</v>
      </c>
      <c r="I27" s="541">
        <v>138</v>
      </c>
      <c r="J27" s="557"/>
      <c r="K27" s="556"/>
      <c r="L27" s="556"/>
      <c r="M27" s="541"/>
      <c r="N27" s="556"/>
      <c r="O27" s="556"/>
      <c r="P27" s="556"/>
      <c r="Q27" s="541"/>
      <c r="R27" s="377"/>
      <c r="S27" s="378"/>
      <c r="T27" s="500"/>
      <c r="U27" s="556"/>
      <c r="V27" s="556"/>
      <c r="W27" s="556"/>
      <c r="X27" s="541"/>
      <c r="Y27" s="556"/>
      <c r="Z27" s="556"/>
      <c r="AA27" s="556"/>
      <c r="AB27" s="541"/>
      <c r="AC27" s="556">
        <f t="shared" si="1"/>
        <v>88</v>
      </c>
      <c r="AD27" s="556">
        <f t="shared" si="2"/>
        <v>74</v>
      </c>
      <c r="AE27" s="556">
        <f t="shared" si="3"/>
        <v>83</v>
      </c>
      <c r="AF27" s="541">
        <f t="shared" si="4"/>
        <v>138</v>
      </c>
      <c r="AG27" s="558"/>
      <c r="AH27" s="558"/>
      <c r="AI27" s="558"/>
    </row>
    <row r="28" spans="1:35" ht="18" customHeight="1">
      <c r="A28" s="555" t="s">
        <v>1080</v>
      </c>
      <c r="B28" s="556">
        <v>89</v>
      </c>
      <c r="C28" s="556">
        <v>75</v>
      </c>
      <c r="D28" s="556">
        <v>82</v>
      </c>
      <c r="E28" s="541">
        <v>89</v>
      </c>
      <c r="F28" s="556"/>
      <c r="G28" s="556"/>
      <c r="H28" s="556"/>
      <c r="I28" s="541"/>
      <c r="J28" s="556"/>
      <c r="K28" s="556"/>
      <c r="L28" s="556"/>
      <c r="M28" s="541"/>
      <c r="N28" s="556"/>
      <c r="O28" s="556"/>
      <c r="P28" s="556"/>
      <c r="Q28" s="541"/>
      <c r="R28" s="377"/>
      <c r="S28" s="378"/>
      <c r="T28" s="500"/>
      <c r="U28" s="556"/>
      <c r="V28" s="556"/>
      <c r="W28" s="556"/>
      <c r="X28" s="541"/>
      <c r="Y28" s="556"/>
      <c r="Z28" s="556"/>
      <c r="AA28" s="556"/>
      <c r="AB28" s="541"/>
      <c r="AC28" s="556">
        <f t="shared" si="1"/>
        <v>89</v>
      </c>
      <c r="AD28" s="556">
        <f t="shared" si="2"/>
        <v>75</v>
      </c>
      <c r="AE28" s="556">
        <f t="shared" si="3"/>
        <v>82</v>
      </c>
      <c r="AF28" s="541">
        <f t="shared" si="4"/>
        <v>89</v>
      </c>
      <c r="AG28" s="558"/>
      <c r="AH28" s="558"/>
      <c r="AI28" s="558"/>
    </row>
    <row r="29" spans="1:35" ht="18" customHeight="1">
      <c r="A29" s="555" t="s">
        <v>1081</v>
      </c>
      <c r="B29" s="556">
        <v>366</v>
      </c>
      <c r="C29" s="556">
        <v>374</v>
      </c>
      <c r="D29" s="556">
        <v>265</v>
      </c>
      <c r="E29" s="541">
        <v>335</v>
      </c>
      <c r="F29" s="556">
        <v>435</v>
      </c>
      <c r="G29" s="556">
        <v>378</v>
      </c>
      <c r="H29" s="556">
        <v>332</v>
      </c>
      <c r="I29" s="541">
        <v>427</v>
      </c>
      <c r="J29" s="556">
        <v>119</v>
      </c>
      <c r="K29" s="556">
        <v>144</v>
      </c>
      <c r="L29" s="556">
        <v>70</v>
      </c>
      <c r="M29" s="541">
        <v>96</v>
      </c>
      <c r="N29" s="556"/>
      <c r="O29" s="556"/>
      <c r="P29" s="556"/>
      <c r="Q29" s="541"/>
      <c r="R29" s="377"/>
      <c r="S29" s="378"/>
      <c r="T29" s="500"/>
      <c r="U29" s="556"/>
      <c r="V29" s="556"/>
      <c r="W29" s="556"/>
      <c r="X29" s="541"/>
      <c r="Y29" s="556"/>
      <c r="Z29" s="556"/>
      <c r="AA29" s="556"/>
      <c r="AB29" s="541"/>
      <c r="AC29" s="556">
        <f t="shared" si="1"/>
        <v>920</v>
      </c>
      <c r="AD29" s="556">
        <f t="shared" si="2"/>
        <v>896</v>
      </c>
      <c r="AE29" s="556">
        <f t="shared" si="3"/>
        <v>667</v>
      </c>
      <c r="AF29" s="541">
        <f t="shared" si="4"/>
        <v>858</v>
      </c>
      <c r="AG29" s="558"/>
      <c r="AH29" s="558"/>
      <c r="AI29" s="558"/>
    </row>
    <row r="30" spans="1:35" ht="18" customHeight="1">
      <c r="A30" s="555" t="s">
        <v>1082</v>
      </c>
      <c r="B30" s="556">
        <v>140</v>
      </c>
      <c r="C30" s="556">
        <v>211</v>
      </c>
      <c r="D30" s="556">
        <v>206</v>
      </c>
      <c r="E30" s="541">
        <v>194</v>
      </c>
      <c r="F30" s="556">
        <v>239</v>
      </c>
      <c r="G30" s="556">
        <v>163</v>
      </c>
      <c r="H30" s="556">
        <v>150</v>
      </c>
      <c r="I30" s="541">
        <v>103</v>
      </c>
      <c r="J30" s="556">
        <v>29</v>
      </c>
      <c r="K30" s="556">
        <v>49</v>
      </c>
      <c r="L30" s="556">
        <v>20</v>
      </c>
      <c r="M30" s="541"/>
      <c r="N30" s="556"/>
      <c r="O30" s="556"/>
      <c r="P30" s="556"/>
      <c r="Q30" s="541"/>
      <c r="R30" s="377"/>
      <c r="S30" s="378"/>
      <c r="T30" s="500"/>
      <c r="U30" s="556"/>
      <c r="V30" s="556"/>
      <c r="W30" s="556"/>
      <c r="X30" s="541"/>
      <c r="Y30" s="556"/>
      <c r="Z30" s="556"/>
      <c r="AA30" s="556"/>
      <c r="AB30" s="541"/>
      <c r="AC30" s="556">
        <f t="shared" si="1"/>
        <v>408</v>
      </c>
      <c r="AD30" s="556">
        <f t="shared" si="2"/>
        <v>423</v>
      </c>
      <c r="AE30" s="556">
        <f t="shared" si="3"/>
        <v>376</v>
      </c>
      <c r="AF30" s="541">
        <f t="shared" si="4"/>
        <v>297</v>
      </c>
      <c r="AG30" s="558"/>
      <c r="AH30" s="558"/>
      <c r="AI30" s="558"/>
    </row>
    <row r="31" spans="1:35" ht="18" customHeight="1">
      <c r="A31" s="555" t="s">
        <v>1083</v>
      </c>
      <c r="B31" s="556">
        <v>521</v>
      </c>
      <c r="C31" s="556">
        <v>216</v>
      </c>
      <c r="D31" s="556">
        <v>208</v>
      </c>
      <c r="E31" s="541">
        <v>139</v>
      </c>
      <c r="F31" s="556"/>
      <c r="G31" s="556"/>
      <c r="H31" s="556"/>
      <c r="I31" s="541"/>
      <c r="J31" s="557"/>
      <c r="K31" s="556"/>
      <c r="L31" s="556"/>
      <c r="M31" s="541"/>
      <c r="N31" s="556"/>
      <c r="O31" s="556"/>
      <c r="P31" s="556"/>
      <c r="Q31" s="541"/>
      <c r="R31" s="377"/>
      <c r="S31" s="378"/>
      <c r="T31" s="500"/>
      <c r="U31" s="556"/>
      <c r="V31" s="556"/>
      <c r="W31" s="556"/>
      <c r="X31" s="541"/>
      <c r="Y31" s="556"/>
      <c r="Z31" s="556">
        <v>51</v>
      </c>
      <c r="AA31" s="556">
        <v>1</v>
      </c>
      <c r="AB31" s="541"/>
      <c r="AC31" s="556">
        <f t="shared" si="1"/>
        <v>521</v>
      </c>
      <c r="AD31" s="556">
        <f t="shared" si="2"/>
        <v>267</v>
      </c>
      <c r="AE31" s="556">
        <f t="shared" si="3"/>
        <v>209</v>
      </c>
      <c r="AF31" s="541">
        <f t="shared" si="4"/>
        <v>139</v>
      </c>
      <c r="AG31" s="558"/>
      <c r="AH31" s="558"/>
      <c r="AI31" s="558"/>
    </row>
    <row r="32" spans="1:35" ht="18" customHeight="1">
      <c r="A32" s="555" t="s">
        <v>1084</v>
      </c>
      <c r="B32" s="556">
        <v>898</v>
      </c>
      <c r="C32" s="556">
        <v>335</v>
      </c>
      <c r="D32" s="556">
        <v>382</v>
      </c>
      <c r="E32" s="541">
        <v>371</v>
      </c>
      <c r="F32" s="556"/>
      <c r="G32" s="556"/>
      <c r="H32" s="556"/>
      <c r="I32" s="541"/>
      <c r="J32" s="557"/>
      <c r="K32" s="556"/>
      <c r="L32" s="556"/>
      <c r="M32" s="541"/>
      <c r="N32" s="556"/>
      <c r="O32" s="556"/>
      <c r="P32" s="556"/>
      <c r="Q32" s="541"/>
      <c r="R32" s="377"/>
      <c r="S32" s="378"/>
      <c r="T32" s="500"/>
      <c r="U32" s="556"/>
      <c r="V32" s="556"/>
      <c r="W32" s="556"/>
      <c r="X32" s="541"/>
      <c r="Y32" s="556"/>
      <c r="Z32" s="556"/>
      <c r="AA32" s="556"/>
      <c r="AB32" s="541"/>
      <c r="AC32" s="556">
        <f t="shared" si="1"/>
        <v>898</v>
      </c>
      <c r="AD32" s="556">
        <f t="shared" si="2"/>
        <v>335</v>
      </c>
      <c r="AE32" s="556">
        <f t="shared" si="3"/>
        <v>382</v>
      </c>
      <c r="AF32" s="541">
        <f t="shared" si="4"/>
        <v>371</v>
      </c>
      <c r="AG32" s="558"/>
      <c r="AH32" s="558"/>
      <c r="AI32" s="558"/>
    </row>
    <row r="33" spans="1:35" ht="18" customHeight="1">
      <c r="A33" s="555" t="s">
        <v>1085</v>
      </c>
      <c r="B33" s="556"/>
      <c r="C33" s="556"/>
      <c r="D33" s="556"/>
      <c r="E33" s="541"/>
      <c r="F33" s="556">
        <v>1331</v>
      </c>
      <c r="G33" s="556">
        <v>1294</v>
      </c>
      <c r="H33" s="556">
        <v>1172</v>
      </c>
      <c r="I33" s="541">
        <v>1324</v>
      </c>
      <c r="J33" s="557"/>
      <c r="K33" s="556"/>
      <c r="L33" s="556"/>
      <c r="M33" s="541"/>
      <c r="N33" s="556"/>
      <c r="O33" s="556"/>
      <c r="P33" s="556"/>
      <c r="Q33" s="541"/>
      <c r="R33" s="377"/>
      <c r="S33" s="378"/>
      <c r="T33" s="500"/>
      <c r="U33" s="556"/>
      <c r="V33" s="556"/>
      <c r="W33" s="556"/>
      <c r="X33" s="541"/>
      <c r="Y33" s="556"/>
      <c r="Z33" s="556"/>
      <c r="AA33" s="556"/>
      <c r="AB33" s="541"/>
      <c r="AC33" s="556">
        <f t="shared" si="1"/>
        <v>1331</v>
      </c>
      <c r="AD33" s="556">
        <f t="shared" si="2"/>
        <v>1294</v>
      </c>
      <c r="AE33" s="556">
        <f t="shared" si="3"/>
        <v>1172</v>
      </c>
      <c r="AF33" s="541">
        <f t="shared" si="4"/>
        <v>1324</v>
      </c>
      <c r="AG33" s="558"/>
      <c r="AH33" s="558"/>
      <c r="AI33" s="558"/>
    </row>
    <row r="34" spans="1:35" ht="18" customHeight="1">
      <c r="A34" s="555" t="s">
        <v>1086</v>
      </c>
      <c r="B34" s="556">
        <v>7</v>
      </c>
      <c r="C34" s="556">
        <v>6</v>
      </c>
      <c r="D34" s="556">
        <v>5</v>
      </c>
      <c r="E34" s="541">
        <v>1</v>
      </c>
      <c r="F34" s="556">
        <v>135</v>
      </c>
      <c r="G34" s="556">
        <v>114</v>
      </c>
      <c r="H34" s="556">
        <v>90</v>
      </c>
      <c r="I34" s="541">
        <v>68</v>
      </c>
      <c r="J34" s="557"/>
      <c r="K34" s="556"/>
      <c r="L34" s="556"/>
      <c r="M34" s="541"/>
      <c r="N34" s="556"/>
      <c r="O34" s="556"/>
      <c r="P34" s="556"/>
      <c r="Q34" s="541"/>
      <c r="R34" s="377"/>
      <c r="S34" s="378"/>
      <c r="T34" s="500"/>
      <c r="U34" s="556"/>
      <c r="V34" s="556"/>
      <c r="W34" s="556"/>
      <c r="X34" s="541"/>
      <c r="Y34" s="556"/>
      <c r="Z34" s="556"/>
      <c r="AA34" s="556"/>
      <c r="AB34" s="541"/>
      <c r="AC34" s="556">
        <f t="shared" si="1"/>
        <v>142</v>
      </c>
      <c r="AD34" s="556">
        <f t="shared" si="2"/>
        <v>120</v>
      </c>
      <c r="AE34" s="556">
        <f t="shared" si="3"/>
        <v>95</v>
      </c>
      <c r="AF34" s="541">
        <f t="shared" si="4"/>
        <v>69</v>
      </c>
      <c r="AG34" s="558"/>
      <c r="AH34" s="558"/>
      <c r="AI34" s="558"/>
    </row>
    <row r="35" spans="1:35" ht="18" customHeight="1">
      <c r="A35" s="555" t="s">
        <v>1087</v>
      </c>
      <c r="B35" s="556">
        <v>65</v>
      </c>
      <c r="C35" s="556">
        <v>119</v>
      </c>
      <c r="D35" s="556">
        <v>93</v>
      </c>
      <c r="E35" s="541">
        <v>80</v>
      </c>
      <c r="F35" s="556"/>
      <c r="G35" s="556"/>
      <c r="H35" s="556"/>
      <c r="I35" s="541"/>
      <c r="J35" s="557"/>
      <c r="K35" s="556"/>
      <c r="L35" s="556"/>
      <c r="M35" s="541"/>
      <c r="N35" s="556"/>
      <c r="O35" s="556"/>
      <c r="P35" s="556"/>
      <c r="Q35" s="556"/>
      <c r="R35" s="377"/>
      <c r="S35" s="378"/>
      <c r="T35" s="500"/>
      <c r="U35" s="557"/>
      <c r="V35" s="556"/>
      <c r="W35" s="556"/>
      <c r="X35" s="541"/>
      <c r="Y35" s="556"/>
      <c r="Z35" s="556"/>
      <c r="AA35" s="556"/>
      <c r="AB35" s="541"/>
      <c r="AC35" s="556">
        <f t="shared" si="1"/>
        <v>65</v>
      </c>
      <c r="AD35" s="556">
        <f t="shared" si="2"/>
        <v>119</v>
      </c>
      <c r="AE35" s="556">
        <f t="shared" si="3"/>
        <v>93</v>
      </c>
      <c r="AF35" s="541">
        <f t="shared" si="4"/>
        <v>80</v>
      </c>
      <c r="AG35" s="558"/>
      <c r="AH35" s="558"/>
      <c r="AI35" s="558"/>
    </row>
    <row r="36" spans="1:35" ht="18" customHeight="1">
      <c r="A36" s="171" t="s">
        <v>923</v>
      </c>
      <c r="B36" s="559">
        <v>5482</v>
      </c>
      <c r="C36" s="559">
        <v>5315</v>
      </c>
      <c r="D36" s="559">
        <v>5170</v>
      </c>
      <c r="E36" s="560">
        <f t="shared" ref="E36:AF36" si="5">SUM(E9:E35)</f>
        <v>5123</v>
      </c>
      <c r="F36" s="559">
        <v>5393</v>
      </c>
      <c r="G36" s="559">
        <v>4740</v>
      </c>
      <c r="H36" s="559">
        <v>4398</v>
      </c>
      <c r="I36" s="560">
        <f t="shared" si="5"/>
        <v>4429</v>
      </c>
      <c r="J36" s="561">
        <v>148</v>
      </c>
      <c r="K36" s="559">
        <v>193</v>
      </c>
      <c r="L36" s="559">
        <v>90</v>
      </c>
      <c r="M36" s="560">
        <f t="shared" si="5"/>
        <v>96</v>
      </c>
      <c r="N36" s="559">
        <v>972</v>
      </c>
      <c r="O36" s="559">
        <v>1067</v>
      </c>
      <c r="P36" s="559">
        <v>729</v>
      </c>
      <c r="Q36" s="559">
        <f t="shared" si="5"/>
        <v>754</v>
      </c>
      <c r="R36" s="381">
        <f t="shared" si="5"/>
        <v>27</v>
      </c>
      <c r="S36" s="382">
        <f>+S23</f>
        <v>27</v>
      </c>
      <c r="T36" s="560">
        <f t="shared" si="5"/>
        <v>14</v>
      </c>
      <c r="U36" s="561">
        <f t="shared" si="5"/>
        <v>0</v>
      </c>
      <c r="V36" s="559">
        <f t="shared" si="5"/>
        <v>0</v>
      </c>
      <c r="W36" s="559">
        <f t="shared" si="5"/>
        <v>0</v>
      </c>
      <c r="X36" s="560">
        <f t="shared" si="5"/>
        <v>0</v>
      </c>
      <c r="Y36" s="559"/>
      <c r="Z36" s="559">
        <f t="shared" si="5"/>
        <v>51</v>
      </c>
      <c r="AA36" s="559">
        <f t="shared" si="5"/>
        <v>1</v>
      </c>
      <c r="AB36" s="560">
        <f t="shared" si="5"/>
        <v>0</v>
      </c>
      <c r="AC36" s="559">
        <f t="shared" si="5"/>
        <v>11995</v>
      </c>
      <c r="AD36" s="559">
        <f t="shared" si="5"/>
        <v>11393</v>
      </c>
      <c r="AE36" s="559">
        <f t="shared" si="5"/>
        <v>10415</v>
      </c>
      <c r="AF36" s="560">
        <f t="shared" si="5"/>
        <v>10416</v>
      </c>
      <c r="AG36" s="558"/>
      <c r="AH36" s="558"/>
      <c r="AI36" s="558"/>
    </row>
    <row r="37" spans="1:35" ht="18" customHeight="1">
      <c r="B37" s="562"/>
      <c r="C37" s="562"/>
      <c r="D37" s="562"/>
      <c r="E37" s="562"/>
      <c r="F37" s="562"/>
      <c r="G37" s="562"/>
      <c r="H37" s="562"/>
      <c r="I37" s="562"/>
      <c r="J37" s="562"/>
      <c r="K37" s="562"/>
      <c r="L37" s="562"/>
      <c r="M37" s="562"/>
      <c r="N37" s="562"/>
      <c r="O37" s="562"/>
      <c r="P37" s="562"/>
      <c r="Q37" s="562"/>
      <c r="R37" s="562"/>
      <c r="S37" s="562"/>
      <c r="T37" s="562"/>
      <c r="U37" s="562"/>
      <c r="V37" s="562"/>
      <c r="W37" s="562"/>
      <c r="X37" s="562"/>
      <c r="Y37" s="562"/>
      <c r="Z37" s="562"/>
      <c r="AA37" s="562"/>
      <c r="AB37" s="562"/>
      <c r="AC37" s="562"/>
      <c r="AD37" s="562"/>
      <c r="AE37" s="562"/>
      <c r="AF37" s="562"/>
      <c r="AG37" s="558"/>
      <c r="AH37" s="558"/>
      <c r="AI37" s="558"/>
    </row>
    <row r="38" spans="1:35" ht="18" customHeight="1">
      <c r="A38" s="519" t="s">
        <v>1088</v>
      </c>
      <c r="B38" s="562"/>
      <c r="C38" s="562"/>
      <c r="D38" s="562"/>
      <c r="E38" s="562"/>
      <c r="F38" s="559"/>
      <c r="G38" s="562"/>
      <c r="H38" s="562"/>
      <c r="I38" s="562"/>
      <c r="J38" s="562"/>
      <c r="K38" s="562"/>
      <c r="L38" s="562"/>
      <c r="M38" s="562"/>
      <c r="N38" s="562"/>
      <c r="O38" s="562"/>
      <c r="P38" s="562"/>
      <c r="Q38" s="562"/>
      <c r="R38" s="562"/>
      <c r="S38" s="562"/>
      <c r="T38" s="562"/>
      <c r="U38" s="562"/>
      <c r="V38" s="562"/>
      <c r="W38" s="562"/>
      <c r="X38" s="562"/>
      <c r="Y38" s="562"/>
      <c r="Z38" s="562"/>
      <c r="AA38" s="562"/>
      <c r="AB38" s="562"/>
      <c r="AC38" s="562"/>
      <c r="AD38" s="562"/>
      <c r="AE38" s="562"/>
      <c r="AF38" s="562"/>
      <c r="AG38" s="558"/>
      <c r="AH38" s="558"/>
      <c r="AI38" s="558"/>
    </row>
    <row r="39" spans="1:35" ht="18" customHeight="1">
      <c r="A39" s="538" t="s">
        <v>1089</v>
      </c>
      <c r="B39" s="564">
        <v>45</v>
      </c>
      <c r="C39" s="564">
        <v>152</v>
      </c>
      <c r="D39" s="564">
        <v>146</v>
      </c>
      <c r="E39" s="565">
        <v>68</v>
      </c>
      <c r="F39" s="564">
        <v>171</v>
      </c>
      <c r="G39" s="564">
        <v>353</v>
      </c>
      <c r="H39" s="564">
        <v>398</v>
      </c>
      <c r="I39" s="564">
        <v>299</v>
      </c>
      <c r="J39" s="563"/>
      <c r="K39" s="564"/>
      <c r="L39" s="564"/>
      <c r="M39" s="565"/>
      <c r="N39" s="564">
        <v>19</v>
      </c>
      <c r="O39" s="564"/>
      <c r="P39" s="564"/>
      <c r="Q39" s="564"/>
      <c r="R39" s="563"/>
      <c r="S39" s="564"/>
      <c r="T39" s="565"/>
      <c r="U39" s="563"/>
      <c r="V39" s="564"/>
      <c r="W39" s="564"/>
      <c r="X39" s="565"/>
      <c r="Y39" s="564"/>
      <c r="Z39" s="564"/>
      <c r="AA39" s="564"/>
      <c r="AB39" s="564"/>
      <c r="AC39" s="563">
        <f t="shared" ref="AC39:AF40" si="6">+N39+J39+F39+B39</f>
        <v>235</v>
      </c>
      <c r="AD39" s="564">
        <f t="shared" si="6"/>
        <v>505</v>
      </c>
      <c r="AE39" s="564">
        <f t="shared" si="6"/>
        <v>544</v>
      </c>
      <c r="AF39" s="565">
        <f t="shared" si="6"/>
        <v>367</v>
      </c>
      <c r="AG39" s="558"/>
      <c r="AH39" s="558"/>
      <c r="AI39" s="558"/>
    </row>
    <row r="40" spans="1:35" ht="18" customHeight="1">
      <c r="A40" s="540" t="s">
        <v>1090</v>
      </c>
      <c r="B40" s="556">
        <v>271</v>
      </c>
      <c r="C40" s="556">
        <v>254</v>
      </c>
      <c r="D40" s="556">
        <v>205</v>
      </c>
      <c r="E40" s="541">
        <v>23</v>
      </c>
      <c r="F40" s="556">
        <v>15</v>
      </c>
      <c r="G40" s="556">
        <v>8</v>
      </c>
      <c r="H40" s="556">
        <v>8</v>
      </c>
      <c r="I40" s="556">
        <v>13</v>
      </c>
      <c r="J40" s="557"/>
      <c r="K40" s="556"/>
      <c r="L40" s="556"/>
      <c r="M40" s="541"/>
      <c r="N40" s="556"/>
      <c r="O40" s="556"/>
      <c r="P40" s="556"/>
      <c r="Q40" s="556"/>
      <c r="R40" s="557"/>
      <c r="S40" s="556"/>
      <c r="T40" s="541"/>
      <c r="U40" s="557"/>
      <c r="V40" s="556"/>
      <c r="W40" s="556"/>
      <c r="X40" s="541"/>
      <c r="Y40" s="556"/>
      <c r="Z40" s="556"/>
      <c r="AA40" s="556"/>
      <c r="AB40" s="556"/>
      <c r="AC40" s="557">
        <f t="shared" si="6"/>
        <v>286</v>
      </c>
      <c r="AD40" s="556">
        <f t="shared" si="6"/>
        <v>262</v>
      </c>
      <c r="AE40" s="556">
        <f t="shared" si="6"/>
        <v>213</v>
      </c>
      <c r="AF40" s="541">
        <f t="shared" si="6"/>
        <v>36</v>
      </c>
      <c r="AG40" s="558"/>
      <c r="AH40" s="558"/>
      <c r="AI40" s="558"/>
    </row>
    <row r="41" spans="1:35" ht="18" customHeight="1">
      <c r="A41" s="540" t="s">
        <v>1091</v>
      </c>
      <c r="B41" s="556">
        <v>173</v>
      </c>
      <c r="C41" s="556">
        <v>174</v>
      </c>
      <c r="D41" s="556">
        <v>220</v>
      </c>
      <c r="E41" s="541">
        <v>186</v>
      </c>
      <c r="F41" s="556">
        <v>146</v>
      </c>
      <c r="G41" s="556">
        <v>172</v>
      </c>
      <c r="H41" s="556">
        <v>177</v>
      </c>
      <c r="I41" s="556">
        <v>201</v>
      </c>
      <c r="J41" s="557"/>
      <c r="K41" s="556"/>
      <c r="L41" s="556"/>
      <c r="M41" s="541"/>
      <c r="N41" s="556"/>
      <c r="O41" s="556"/>
      <c r="P41" s="556"/>
      <c r="Q41" s="556"/>
      <c r="R41" s="557"/>
      <c r="S41" s="556"/>
      <c r="T41" s="541"/>
      <c r="U41" s="557"/>
      <c r="V41" s="556"/>
      <c r="W41" s="556"/>
      <c r="X41" s="541"/>
      <c r="Y41" s="556"/>
      <c r="Z41" s="556"/>
      <c r="AA41" s="556"/>
      <c r="AB41" s="556"/>
      <c r="AC41" s="557">
        <f t="shared" ref="AC41:AF43" si="7">+N41+J41+F41+B41</f>
        <v>319</v>
      </c>
      <c r="AD41" s="556">
        <f t="shared" si="7"/>
        <v>346</v>
      </c>
      <c r="AE41" s="556">
        <f t="shared" si="7"/>
        <v>397</v>
      </c>
      <c r="AF41" s="541">
        <f t="shared" si="7"/>
        <v>387</v>
      </c>
      <c r="AG41" s="558"/>
      <c r="AH41" s="558"/>
      <c r="AI41" s="558"/>
    </row>
    <row r="42" spans="1:35" ht="18" customHeight="1">
      <c r="A42" s="540" t="s">
        <v>1092</v>
      </c>
      <c r="B42" s="556">
        <v>115</v>
      </c>
      <c r="C42" s="556">
        <v>136</v>
      </c>
      <c r="D42" s="556">
        <v>106</v>
      </c>
      <c r="E42" s="541">
        <v>112</v>
      </c>
      <c r="F42" s="556">
        <v>312</v>
      </c>
      <c r="G42" s="556">
        <v>226</v>
      </c>
      <c r="H42" s="556">
        <v>198</v>
      </c>
      <c r="I42" s="556">
        <v>183</v>
      </c>
      <c r="J42" s="557"/>
      <c r="K42" s="556"/>
      <c r="L42" s="556"/>
      <c r="M42" s="541"/>
      <c r="N42" s="556"/>
      <c r="O42" s="556"/>
      <c r="P42" s="556"/>
      <c r="Q42" s="556"/>
      <c r="R42" s="557"/>
      <c r="S42" s="556"/>
      <c r="T42" s="541"/>
      <c r="U42" s="557"/>
      <c r="V42" s="556"/>
      <c r="W42" s="556"/>
      <c r="X42" s="541"/>
      <c r="Y42" s="556"/>
      <c r="Z42" s="556"/>
      <c r="AA42" s="556"/>
      <c r="AB42" s="556"/>
      <c r="AC42" s="557">
        <f t="shared" si="7"/>
        <v>427</v>
      </c>
      <c r="AD42" s="556">
        <f t="shared" si="7"/>
        <v>362</v>
      </c>
      <c r="AE42" s="556">
        <f t="shared" si="7"/>
        <v>304</v>
      </c>
      <c r="AF42" s="541">
        <f t="shared" si="7"/>
        <v>295</v>
      </c>
      <c r="AG42" s="558"/>
      <c r="AH42" s="558"/>
      <c r="AI42" s="558"/>
    </row>
    <row r="43" spans="1:35" ht="18" customHeight="1">
      <c r="A43" s="540" t="s">
        <v>1093</v>
      </c>
      <c r="B43" s="556">
        <v>342</v>
      </c>
      <c r="C43" s="556">
        <v>231</v>
      </c>
      <c r="D43" s="556">
        <v>270</v>
      </c>
      <c r="E43" s="541">
        <v>301</v>
      </c>
      <c r="F43" s="556"/>
      <c r="G43" s="556"/>
      <c r="H43" s="556"/>
      <c r="I43" s="556"/>
      <c r="J43" s="557"/>
      <c r="K43" s="556"/>
      <c r="L43" s="556"/>
      <c r="M43" s="541"/>
      <c r="N43" s="556"/>
      <c r="O43" s="556"/>
      <c r="P43" s="556"/>
      <c r="Q43" s="556"/>
      <c r="R43" s="557"/>
      <c r="S43" s="556"/>
      <c r="T43" s="541"/>
      <c r="U43" s="557"/>
      <c r="V43" s="556"/>
      <c r="W43" s="556"/>
      <c r="X43" s="541"/>
      <c r="Y43" s="556"/>
      <c r="Z43" s="556"/>
      <c r="AA43" s="556"/>
      <c r="AB43" s="556"/>
      <c r="AC43" s="557">
        <f t="shared" si="7"/>
        <v>342</v>
      </c>
      <c r="AD43" s="556">
        <f t="shared" si="7"/>
        <v>231</v>
      </c>
      <c r="AE43" s="556">
        <f t="shared" si="7"/>
        <v>270</v>
      </c>
      <c r="AF43" s="541">
        <f t="shared" si="7"/>
        <v>301</v>
      </c>
      <c r="AG43" s="558"/>
      <c r="AH43" s="558"/>
      <c r="AI43" s="558"/>
    </row>
    <row r="44" spans="1:35" ht="18" customHeight="1">
      <c r="A44" s="540" t="s">
        <v>1094</v>
      </c>
      <c r="B44" s="556">
        <v>1310</v>
      </c>
      <c r="C44" s="556">
        <v>901</v>
      </c>
      <c r="D44" s="556">
        <v>1157</v>
      </c>
      <c r="E44" s="541">
        <v>1050</v>
      </c>
      <c r="F44" s="556">
        <v>1234</v>
      </c>
      <c r="G44" s="556">
        <v>1336</v>
      </c>
      <c r="H44" s="556">
        <v>1089</v>
      </c>
      <c r="I44" s="556">
        <v>1107</v>
      </c>
      <c r="J44" s="557"/>
      <c r="K44" s="556"/>
      <c r="L44" s="556"/>
      <c r="M44" s="541"/>
      <c r="N44" s="556"/>
      <c r="O44" s="556"/>
      <c r="P44" s="556"/>
      <c r="Q44" s="556"/>
      <c r="R44" s="557"/>
      <c r="S44" s="556"/>
      <c r="T44" s="541"/>
      <c r="U44" s="557"/>
      <c r="V44" s="556"/>
      <c r="W44" s="556"/>
      <c r="X44" s="541"/>
      <c r="Y44" s="556"/>
      <c r="Z44" s="556"/>
      <c r="AA44" s="556"/>
      <c r="AB44" s="556"/>
      <c r="AC44" s="557">
        <f>+N44+J44+F44+B44</f>
        <v>2544</v>
      </c>
      <c r="AD44" s="556">
        <f>+O44+K44+G44+C44</f>
        <v>2237</v>
      </c>
      <c r="AE44" s="556">
        <f t="shared" ref="AE44:AF46" si="8">+P44+L44+H44+D44</f>
        <v>2246</v>
      </c>
      <c r="AF44" s="541">
        <f t="shared" si="8"/>
        <v>2157</v>
      </c>
      <c r="AG44" s="558"/>
      <c r="AH44" s="558"/>
      <c r="AI44" s="558"/>
    </row>
    <row r="45" spans="1:35" ht="18" customHeight="1">
      <c r="A45" s="540" t="s">
        <v>1095</v>
      </c>
      <c r="B45" s="378">
        <v>106</v>
      </c>
      <c r="C45" s="378">
        <v>40</v>
      </c>
      <c r="D45" s="378">
        <v>49</v>
      </c>
      <c r="E45" s="500"/>
      <c r="F45" s="378"/>
      <c r="G45" s="378"/>
      <c r="H45" s="378"/>
      <c r="I45" s="378"/>
      <c r="J45" s="377"/>
      <c r="K45" s="378"/>
      <c r="L45" s="378"/>
      <c r="M45" s="500"/>
      <c r="N45" s="378">
        <v>694</v>
      </c>
      <c r="O45" s="378"/>
      <c r="P45" s="378"/>
      <c r="Q45" s="378"/>
      <c r="R45" s="377"/>
      <c r="S45" s="378"/>
      <c r="T45" s="500"/>
      <c r="U45" s="377"/>
      <c r="V45" s="378"/>
      <c r="W45" s="378"/>
      <c r="X45" s="500"/>
      <c r="Y45" s="378"/>
      <c r="Z45" s="378"/>
      <c r="AA45" s="378"/>
      <c r="AB45" s="378"/>
      <c r="AC45" s="377">
        <f t="shared" ref="AC45:AD47" si="9">+N45+J45+F45+B45</f>
        <v>800</v>
      </c>
      <c r="AD45" s="378">
        <f t="shared" si="9"/>
        <v>40</v>
      </c>
      <c r="AE45" s="378">
        <f t="shared" si="8"/>
        <v>49</v>
      </c>
      <c r="AF45" s="500">
        <f t="shared" si="8"/>
        <v>0</v>
      </c>
      <c r="AG45" s="558"/>
      <c r="AH45" s="558"/>
      <c r="AI45" s="558"/>
    </row>
    <row r="46" spans="1:35" ht="18" customHeight="1">
      <c r="A46" s="540" t="s">
        <v>1096</v>
      </c>
      <c r="B46" s="556">
        <v>335</v>
      </c>
      <c r="C46" s="556">
        <v>245</v>
      </c>
      <c r="D46" s="556">
        <v>342</v>
      </c>
      <c r="E46" s="541">
        <v>223</v>
      </c>
      <c r="F46" s="556"/>
      <c r="G46" s="556"/>
      <c r="H46" s="556"/>
      <c r="I46" s="556"/>
      <c r="J46" s="557"/>
      <c r="K46" s="556"/>
      <c r="L46" s="556"/>
      <c r="M46" s="541"/>
      <c r="N46" s="556"/>
      <c r="O46" s="556"/>
      <c r="P46" s="556"/>
      <c r="Q46" s="556"/>
      <c r="R46" s="557"/>
      <c r="S46" s="556"/>
      <c r="T46" s="541"/>
      <c r="U46" s="557"/>
      <c r="V46" s="556"/>
      <c r="W46" s="556"/>
      <c r="X46" s="541"/>
      <c r="Y46" s="556"/>
      <c r="Z46" s="556"/>
      <c r="AA46" s="556"/>
      <c r="AB46" s="556"/>
      <c r="AC46" s="377">
        <f t="shared" si="9"/>
        <v>335</v>
      </c>
      <c r="AD46" s="378">
        <f t="shared" si="9"/>
        <v>245</v>
      </c>
      <c r="AE46" s="378">
        <f t="shared" si="8"/>
        <v>342</v>
      </c>
      <c r="AF46" s="500">
        <f t="shared" si="8"/>
        <v>223</v>
      </c>
      <c r="AG46" s="558"/>
      <c r="AH46" s="558"/>
      <c r="AI46" s="558"/>
    </row>
    <row r="47" spans="1:35" ht="18" customHeight="1">
      <c r="A47" s="542" t="s">
        <v>1097</v>
      </c>
      <c r="B47" s="559">
        <v>575</v>
      </c>
      <c r="C47" s="559">
        <v>608</v>
      </c>
      <c r="D47" s="559">
        <v>723</v>
      </c>
      <c r="E47" s="560">
        <v>785</v>
      </c>
      <c r="F47" s="559">
        <v>79</v>
      </c>
      <c r="G47" s="559">
        <v>134</v>
      </c>
      <c r="H47" s="559">
        <v>164</v>
      </c>
      <c r="I47" s="559">
        <v>180</v>
      </c>
      <c r="J47" s="561"/>
      <c r="K47" s="559"/>
      <c r="L47" s="559"/>
      <c r="M47" s="560"/>
      <c r="N47" s="559">
        <v>82</v>
      </c>
      <c r="O47" s="559">
        <v>17</v>
      </c>
      <c r="P47" s="559">
        <v>21</v>
      </c>
      <c r="Q47" s="559">
        <v>4</v>
      </c>
      <c r="R47" s="561">
        <v>1</v>
      </c>
      <c r="S47" s="559">
        <v>1</v>
      </c>
      <c r="T47" s="560"/>
      <c r="U47" s="561"/>
      <c r="V47" s="559"/>
      <c r="W47" s="559"/>
      <c r="X47" s="560"/>
      <c r="Y47" s="559"/>
      <c r="Z47" s="559"/>
      <c r="AA47" s="559"/>
      <c r="AB47" s="559"/>
      <c r="AC47" s="561">
        <f t="shared" si="9"/>
        <v>736</v>
      </c>
      <c r="AD47" s="559">
        <f t="shared" si="9"/>
        <v>759</v>
      </c>
      <c r="AE47" s="559">
        <f>+P47+L47+H47+D47+R47</f>
        <v>909</v>
      </c>
      <c r="AF47" s="560">
        <f>+Q47+M47+I47+E47+T47</f>
        <v>969</v>
      </c>
      <c r="AG47" s="558"/>
      <c r="AH47" s="558"/>
      <c r="AI47" s="558"/>
    </row>
    <row r="48" spans="1:35">
      <c r="B48" s="558"/>
      <c r="C48" s="558"/>
      <c r="D48" s="558"/>
      <c r="E48" s="558"/>
      <c r="F48" s="558"/>
      <c r="G48" s="558"/>
      <c r="H48" s="558"/>
      <c r="I48" s="558"/>
      <c r="J48" s="558"/>
      <c r="K48" s="558"/>
      <c r="L48" s="558"/>
      <c r="M48" s="558"/>
      <c r="N48" s="558"/>
      <c r="O48" s="558"/>
      <c r="P48" s="558"/>
      <c r="Q48" s="558"/>
      <c r="R48" s="558"/>
      <c r="S48" s="558"/>
      <c r="T48" s="558"/>
      <c r="U48" s="558"/>
      <c r="V48" s="558"/>
      <c r="W48" s="558"/>
      <c r="X48" s="558"/>
      <c r="Y48" s="558"/>
      <c r="Z48" s="558"/>
      <c r="AA48" s="558"/>
      <c r="AB48" s="558"/>
      <c r="AC48" s="558"/>
      <c r="AD48" s="558"/>
      <c r="AE48" s="558"/>
      <c r="AF48" s="558"/>
      <c r="AG48" s="558"/>
      <c r="AH48" s="558"/>
      <c r="AI48" s="558"/>
    </row>
    <row r="49" spans="2:35">
      <c r="B49" s="558"/>
      <c r="C49" s="558"/>
      <c r="D49" s="558"/>
      <c r="E49" s="558"/>
      <c r="F49" s="558"/>
      <c r="G49" s="558"/>
      <c r="H49" s="558"/>
      <c r="I49" s="558"/>
      <c r="J49" s="558"/>
      <c r="K49" s="558"/>
      <c r="L49" s="558"/>
      <c r="M49" s="558"/>
      <c r="N49" s="558"/>
      <c r="O49" s="558"/>
      <c r="P49" s="558"/>
      <c r="Q49" s="558"/>
      <c r="R49" s="558"/>
      <c r="S49" s="558"/>
      <c r="T49" s="558"/>
      <c r="U49" s="558"/>
      <c r="V49" s="558"/>
      <c r="W49" s="558"/>
      <c r="X49" s="558"/>
      <c r="Y49" s="558"/>
      <c r="Z49" s="558"/>
      <c r="AA49" s="558"/>
      <c r="AB49" s="558"/>
      <c r="AC49" s="558"/>
      <c r="AD49" s="558"/>
      <c r="AE49" s="558"/>
      <c r="AF49" s="558"/>
      <c r="AG49" s="558"/>
      <c r="AH49" s="558"/>
      <c r="AI49" s="558"/>
    </row>
    <row r="50" spans="2:35">
      <c r="B50" s="558"/>
      <c r="C50" s="558"/>
      <c r="D50" s="558"/>
      <c r="E50" s="558"/>
      <c r="F50" s="558"/>
      <c r="G50" s="558"/>
      <c r="H50" s="558"/>
      <c r="I50" s="558"/>
      <c r="J50" s="558"/>
      <c r="K50" s="558"/>
      <c r="L50" s="558"/>
      <c r="M50" s="558"/>
      <c r="N50" s="558"/>
      <c r="O50" s="558"/>
      <c r="P50" s="558"/>
      <c r="Q50" s="558"/>
      <c r="R50" s="558"/>
      <c r="S50" s="558"/>
      <c r="T50" s="558"/>
      <c r="U50" s="558"/>
      <c r="V50" s="558"/>
      <c r="W50" s="558"/>
      <c r="X50" s="558"/>
      <c r="Y50" s="558"/>
      <c r="Z50" s="558"/>
      <c r="AA50" s="558"/>
      <c r="AB50" s="558"/>
      <c r="AC50" s="558"/>
      <c r="AD50" s="558"/>
      <c r="AE50" s="558"/>
      <c r="AF50" s="558"/>
      <c r="AG50" s="558"/>
      <c r="AH50" s="558"/>
      <c r="AI50" s="558"/>
    </row>
    <row r="51" spans="2:35">
      <c r="B51" s="558"/>
      <c r="C51" s="558"/>
      <c r="D51" s="558"/>
      <c r="E51" s="558"/>
      <c r="F51" s="558"/>
      <c r="G51" s="558"/>
      <c r="H51" s="558"/>
      <c r="I51" s="558"/>
      <c r="J51" s="558"/>
      <c r="K51" s="558"/>
      <c r="L51" s="558"/>
      <c r="M51" s="558"/>
      <c r="N51" s="558"/>
      <c r="O51" s="558"/>
      <c r="P51" s="558"/>
      <c r="Q51" s="558"/>
      <c r="R51" s="558"/>
      <c r="S51" s="558"/>
      <c r="T51" s="558"/>
      <c r="U51" s="558"/>
      <c r="V51" s="558"/>
      <c r="W51" s="558"/>
      <c r="X51" s="558"/>
      <c r="Y51" s="558"/>
      <c r="Z51" s="558"/>
      <c r="AA51" s="558"/>
      <c r="AB51" s="558"/>
      <c r="AC51" s="558"/>
      <c r="AD51" s="558"/>
      <c r="AE51" s="558"/>
      <c r="AF51" s="558"/>
      <c r="AG51" s="558"/>
      <c r="AH51" s="558"/>
      <c r="AI51" s="558"/>
    </row>
    <row r="52" spans="2:35">
      <c r="B52" s="558"/>
      <c r="C52" s="558"/>
      <c r="D52" s="558"/>
      <c r="E52" s="558"/>
      <c r="F52" s="558"/>
      <c r="G52" s="558"/>
      <c r="H52" s="558"/>
      <c r="I52" s="558"/>
      <c r="J52" s="558"/>
      <c r="K52" s="558"/>
      <c r="L52" s="558"/>
      <c r="M52" s="558"/>
      <c r="N52" s="558"/>
      <c r="O52" s="558"/>
      <c r="P52" s="558"/>
      <c r="Q52" s="558"/>
      <c r="R52" s="558"/>
      <c r="S52" s="558"/>
      <c r="T52" s="558"/>
      <c r="U52" s="558"/>
      <c r="V52" s="558"/>
      <c r="W52" s="558"/>
      <c r="X52" s="558"/>
      <c r="Y52" s="558"/>
      <c r="Z52" s="558"/>
      <c r="AA52" s="558"/>
      <c r="AB52" s="558"/>
      <c r="AC52" s="558"/>
      <c r="AD52" s="558"/>
      <c r="AE52" s="558"/>
      <c r="AF52" s="558"/>
      <c r="AG52" s="558"/>
      <c r="AH52" s="558"/>
      <c r="AI52" s="558"/>
    </row>
    <row r="53" spans="2:35">
      <c r="B53" s="558"/>
      <c r="C53" s="558"/>
      <c r="D53" s="558"/>
      <c r="E53" s="558"/>
      <c r="F53" s="558"/>
      <c r="G53" s="558"/>
      <c r="H53" s="558"/>
      <c r="I53" s="558"/>
      <c r="J53" s="558"/>
      <c r="K53" s="558"/>
      <c r="L53" s="558"/>
      <c r="M53" s="558"/>
      <c r="N53" s="558"/>
      <c r="O53" s="558"/>
      <c r="P53" s="558"/>
      <c r="Q53" s="558"/>
      <c r="R53" s="558"/>
      <c r="S53" s="558"/>
      <c r="T53" s="558"/>
      <c r="U53" s="558"/>
      <c r="V53" s="558"/>
      <c r="W53" s="558"/>
      <c r="X53" s="558"/>
      <c r="Y53" s="558"/>
      <c r="Z53" s="558"/>
      <c r="AA53" s="558"/>
      <c r="AB53" s="558"/>
      <c r="AC53" s="558"/>
      <c r="AD53" s="558"/>
      <c r="AE53" s="558"/>
      <c r="AF53" s="558"/>
      <c r="AG53" s="558"/>
      <c r="AH53" s="558"/>
      <c r="AI53" s="558"/>
    </row>
    <row r="54" spans="2:35">
      <c r="B54" s="558"/>
      <c r="C54" s="558"/>
      <c r="D54" s="558"/>
      <c r="E54" s="558"/>
      <c r="F54" s="558"/>
      <c r="G54" s="558"/>
      <c r="H54" s="558"/>
      <c r="I54" s="558"/>
      <c r="J54" s="558"/>
      <c r="K54" s="558"/>
      <c r="L54" s="558"/>
      <c r="M54" s="558"/>
      <c r="N54" s="558"/>
      <c r="O54" s="558"/>
      <c r="P54" s="558"/>
      <c r="Q54" s="558"/>
      <c r="R54" s="558"/>
      <c r="S54" s="558"/>
      <c r="T54" s="558"/>
      <c r="U54" s="558"/>
      <c r="V54" s="558"/>
      <c r="W54" s="558"/>
      <c r="X54" s="558"/>
      <c r="Y54" s="558"/>
      <c r="Z54" s="558"/>
      <c r="AA54" s="558"/>
      <c r="AB54" s="558"/>
      <c r="AC54" s="558"/>
      <c r="AD54" s="558"/>
      <c r="AE54" s="558"/>
      <c r="AF54" s="558"/>
      <c r="AG54" s="558"/>
      <c r="AH54" s="558"/>
      <c r="AI54" s="558"/>
    </row>
    <row r="55" spans="2:35">
      <c r="B55" s="558"/>
      <c r="C55" s="558"/>
      <c r="D55" s="558"/>
      <c r="E55" s="558"/>
      <c r="F55" s="558"/>
      <c r="G55" s="558"/>
      <c r="H55" s="558"/>
      <c r="I55" s="558"/>
      <c r="J55" s="558"/>
      <c r="K55" s="558"/>
      <c r="L55" s="558"/>
      <c r="M55" s="558"/>
      <c r="N55" s="558"/>
      <c r="O55" s="558"/>
      <c r="P55" s="558"/>
      <c r="Q55" s="558"/>
      <c r="R55" s="558"/>
      <c r="S55" s="558"/>
      <c r="T55" s="558"/>
      <c r="U55" s="558"/>
      <c r="V55" s="558"/>
      <c r="W55" s="558"/>
      <c r="X55" s="558"/>
      <c r="Y55" s="558"/>
      <c r="Z55" s="558"/>
      <c r="AA55" s="558"/>
      <c r="AB55" s="558"/>
      <c r="AC55" s="558"/>
      <c r="AD55" s="558"/>
      <c r="AE55" s="558"/>
      <c r="AF55" s="558"/>
      <c r="AG55" s="558"/>
      <c r="AH55" s="558"/>
      <c r="AI55" s="558"/>
    </row>
    <row r="56" spans="2:35">
      <c r="B56" s="558"/>
      <c r="C56" s="558"/>
      <c r="D56" s="558"/>
      <c r="E56" s="558"/>
      <c r="F56" s="558"/>
      <c r="G56" s="558"/>
      <c r="H56" s="558"/>
      <c r="I56" s="558"/>
      <c r="J56" s="558"/>
      <c r="K56" s="558"/>
      <c r="L56" s="558"/>
      <c r="M56" s="558"/>
      <c r="N56" s="558"/>
      <c r="O56" s="558"/>
      <c r="P56" s="558"/>
      <c r="Q56" s="558"/>
      <c r="R56" s="558"/>
      <c r="S56" s="558"/>
      <c r="T56" s="558"/>
      <c r="U56" s="558"/>
      <c r="V56" s="558"/>
      <c r="W56" s="558"/>
      <c r="X56" s="558"/>
      <c r="Y56" s="558"/>
      <c r="Z56" s="558"/>
      <c r="AA56" s="558"/>
      <c r="AB56" s="558"/>
      <c r="AC56" s="558"/>
      <c r="AD56" s="558"/>
      <c r="AE56" s="558"/>
      <c r="AF56" s="558"/>
      <c r="AG56" s="558"/>
      <c r="AH56" s="558"/>
      <c r="AI56" s="558"/>
    </row>
    <row r="57" spans="2:35">
      <c r="B57" s="558"/>
      <c r="C57" s="558"/>
      <c r="D57" s="558"/>
      <c r="E57" s="558"/>
      <c r="F57" s="558"/>
      <c r="G57" s="558"/>
      <c r="H57" s="558"/>
      <c r="I57" s="558"/>
      <c r="J57" s="558"/>
      <c r="K57" s="558"/>
      <c r="L57" s="558"/>
      <c r="M57" s="558"/>
      <c r="N57" s="558"/>
      <c r="O57" s="558"/>
      <c r="P57" s="558"/>
      <c r="Q57" s="558"/>
      <c r="R57" s="558"/>
      <c r="S57" s="558"/>
      <c r="T57" s="558"/>
      <c r="U57" s="558"/>
      <c r="V57" s="558"/>
      <c r="W57" s="558"/>
      <c r="X57" s="558"/>
      <c r="Y57" s="558"/>
      <c r="Z57" s="558"/>
      <c r="AA57" s="558"/>
      <c r="AB57" s="558"/>
      <c r="AC57" s="558"/>
      <c r="AD57" s="558"/>
      <c r="AE57" s="558"/>
      <c r="AF57" s="558"/>
      <c r="AG57" s="558"/>
      <c r="AH57" s="558"/>
      <c r="AI57" s="558"/>
    </row>
    <row r="58" spans="2:35">
      <c r="B58" s="558"/>
      <c r="C58" s="558"/>
      <c r="D58" s="558"/>
      <c r="E58" s="558"/>
      <c r="F58" s="558"/>
      <c r="G58" s="558"/>
      <c r="H58" s="558"/>
      <c r="I58" s="558"/>
      <c r="J58" s="558"/>
      <c r="K58" s="558"/>
      <c r="L58" s="558"/>
      <c r="M58" s="558"/>
      <c r="N58" s="558"/>
      <c r="O58" s="558"/>
      <c r="P58" s="558"/>
      <c r="Q58" s="558"/>
      <c r="R58" s="558"/>
      <c r="S58" s="558"/>
      <c r="T58" s="558"/>
      <c r="U58" s="558"/>
      <c r="V58" s="558"/>
      <c r="W58" s="558"/>
      <c r="X58" s="558"/>
      <c r="Y58" s="558"/>
      <c r="Z58" s="558"/>
      <c r="AA58" s="558"/>
      <c r="AB58" s="558"/>
      <c r="AC58" s="558"/>
      <c r="AD58" s="558"/>
      <c r="AE58" s="558"/>
      <c r="AF58" s="558"/>
      <c r="AG58" s="558"/>
      <c r="AH58" s="558"/>
      <c r="AI58" s="558"/>
    </row>
    <row r="59" spans="2:35">
      <c r="B59" s="558"/>
      <c r="C59" s="558"/>
      <c r="D59" s="558"/>
      <c r="E59" s="558"/>
      <c r="F59" s="558"/>
      <c r="G59" s="558"/>
      <c r="H59" s="558"/>
      <c r="I59" s="558"/>
      <c r="J59" s="558"/>
      <c r="K59" s="558"/>
      <c r="L59" s="558"/>
      <c r="M59" s="558"/>
      <c r="N59" s="558"/>
      <c r="O59" s="558"/>
      <c r="P59" s="558"/>
      <c r="Q59" s="558"/>
      <c r="R59" s="558"/>
      <c r="S59" s="558"/>
      <c r="T59" s="558"/>
      <c r="U59" s="558"/>
      <c r="V59" s="558"/>
      <c r="W59" s="558"/>
      <c r="X59" s="558"/>
      <c r="Y59" s="558"/>
      <c r="Z59" s="558"/>
      <c r="AA59" s="558"/>
      <c r="AB59" s="558"/>
      <c r="AC59" s="558"/>
      <c r="AD59" s="558"/>
      <c r="AE59" s="558"/>
      <c r="AF59" s="558"/>
      <c r="AG59" s="558"/>
      <c r="AH59" s="558"/>
      <c r="AI59" s="558"/>
    </row>
    <row r="60" spans="2:35">
      <c r="B60" s="558"/>
      <c r="C60" s="558"/>
      <c r="D60" s="558"/>
      <c r="E60" s="558"/>
      <c r="F60" s="558"/>
      <c r="G60" s="558"/>
      <c r="H60" s="558"/>
      <c r="I60" s="558"/>
      <c r="J60" s="558"/>
      <c r="K60" s="558"/>
      <c r="L60" s="558"/>
      <c r="M60" s="558"/>
      <c r="N60" s="558"/>
      <c r="O60" s="558"/>
      <c r="P60" s="558"/>
      <c r="Q60" s="558"/>
      <c r="R60" s="558"/>
      <c r="S60" s="558"/>
      <c r="T60" s="558"/>
      <c r="U60" s="558"/>
      <c r="V60" s="558"/>
      <c r="W60" s="558"/>
      <c r="X60" s="558"/>
      <c r="Y60" s="558"/>
      <c r="Z60" s="558"/>
      <c r="AA60" s="558"/>
      <c r="AB60" s="558"/>
      <c r="AC60" s="558"/>
      <c r="AD60" s="558"/>
      <c r="AE60" s="558"/>
      <c r="AF60" s="558"/>
      <c r="AG60" s="558"/>
      <c r="AH60" s="558"/>
      <c r="AI60" s="558"/>
    </row>
    <row r="61" spans="2:35">
      <c r="B61" s="558"/>
      <c r="C61" s="558"/>
      <c r="D61" s="558"/>
      <c r="E61" s="558"/>
      <c r="F61" s="558"/>
      <c r="G61" s="558"/>
      <c r="H61" s="558"/>
      <c r="I61" s="558"/>
      <c r="J61" s="558"/>
      <c r="K61" s="558"/>
      <c r="L61" s="558"/>
      <c r="M61" s="558"/>
      <c r="N61" s="558"/>
      <c r="O61" s="558"/>
      <c r="P61" s="558"/>
      <c r="Q61" s="558"/>
      <c r="R61" s="558"/>
      <c r="S61" s="558"/>
      <c r="T61" s="558"/>
      <c r="U61" s="558"/>
      <c r="V61" s="558"/>
      <c r="W61" s="558"/>
      <c r="X61" s="558"/>
      <c r="Y61" s="558"/>
      <c r="Z61" s="558"/>
      <c r="AA61" s="558"/>
      <c r="AB61" s="558"/>
      <c r="AC61" s="558"/>
      <c r="AD61" s="558"/>
      <c r="AE61" s="558"/>
      <c r="AF61" s="558"/>
      <c r="AG61" s="558"/>
      <c r="AH61" s="558"/>
      <c r="AI61" s="558"/>
    </row>
    <row r="62" spans="2:35">
      <c r="B62" s="558"/>
      <c r="C62" s="558"/>
      <c r="D62" s="558"/>
      <c r="E62" s="558"/>
      <c r="F62" s="558"/>
      <c r="G62" s="558"/>
      <c r="H62" s="558"/>
      <c r="I62" s="558"/>
      <c r="J62" s="558"/>
      <c r="K62" s="558"/>
      <c r="L62" s="558"/>
      <c r="M62" s="558"/>
      <c r="N62" s="558"/>
      <c r="O62" s="558"/>
      <c r="P62" s="558"/>
      <c r="Q62" s="558"/>
      <c r="R62" s="558"/>
      <c r="S62" s="558"/>
      <c r="T62" s="558"/>
      <c r="U62" s="558"/>
      <c r="V62" s="558"/>
      <c r="W62" s="558"/>
      <c r="X62" s="558"/>
      <c r="Y62" s="558"/>
      <c r="Z62" s="558"/>
      <c r="AA62" s="558"/>
      <c r="AB62" s="558"/>
      <c r="AC62" s="558"/>
      <c r="AD62" s="558"/>
      <c r="AE62" s="558"/>
      <c r="AF62" s="558"/>
      <c r="AG62" s="558"/>
      <c r="AH62" s="558"/>
      <c r="AI62" s="558"/>
    </row>
    <row r="63" spans="2:35">
      <c r="B63" s="558"/>
      <c r="C63" s="558"/>
      <c r="D63" s="558"/>
      <c r="E63" s="558"/>
      <c r="F63" s="558"/>
      <c r="G63" s="558"/>
      <c r="H63" s="558"/>
      <c r="I63" s="558"/>
      <c r="J63" s="558"/>
      <c r="K63" s="558"/>
      <c r="L63" s="558"/>
      <c r="M63" s="558"/>
      <c r="N63" s="558"/>
      <c r="O63" s="558"/>
      <c r="P63" s="558"/>
      <c r="Q63" s="558"/>
      <c r="R63" s="558"/>
      <c r="S63" s="558"/>
      <c r="T63" s="558"/>
      <c r="U63" s="558"/>
      <c r="V63" s="558"/>
      <c r="W63" s="558"/>
      <c r="X63" s="558"/>
      <c r="Y63" s="558"/>
      <c r="Z63" s="558"/>
      <c r="AA63" s="558"/>
      <c r="AB63" s="558"/>
      <c r="AC63" s="558"/>
      <c r="AD63" s="558"/>
      <c r="AE63" s="558"/>
      <c r="AF63" s="558"/>
      <c r="AG63" s="558"/>
      <c r="AH63" s="558"/>
      <c r="AI63" s="558"/>
    </row>
    <row r="64" spans="2:35">
      <c r="B64" s="558"/>
      <c r="C64" s="558"/>
      <c r="D64" s="558"/>
      <c r="E64" s="558"/>
      <c r="F64" s="558"/>
      <c r="G64" s="558"/>
      <c r="H64" s="558"/>
      <c r="I64" s="558"/>
      <c r="J64" s="558"/>
      <c r="K64" s="558"/>
      <c r="L64" s="558"/>
      <c r="M64" s="558"/>
      <c r="N64" s="558"/>
      <c r="O64" s="558"/>
      <c r="P64" s="558"/>
      <c r="Q64" s="558"/>
      <c r="R64" s="558"/>
      <c r="S64" s="558"/>
      <c r="T64" s="558"/>
      <c r="U64" s="558"/>
      <c r="V64" s="558"/>
      <c r="W64" s="558"/>
      <c r="X64" s="558"/>
      <c r="Y64" s="558"/>
      <c r="Z64" s="558"/>
      <c r="AA64" s="558"/>
      <c r="AB64" s="558"/>
      <c r="AC64" s="558"/>
      <c r="AD64" s="558"/>
      <c r="AE64" s="558"/>
      <c r="AF64" s="558"/>
      <c r="AG64" s="558"/>
      <c r="AH64" s="558"/>
      <c r="AI64" s="558"/>
    </row>
    <row r="65" spans="2:35">
      <c r="B65" s="558"/>
      <c r="C65" s="558"/>
      <c r="D65" s="558"/>
      <c r="E65" s="558"/>
      <c r="F65" s="558"/>
      <c r="G65" s="558"/>
      <c r="H65" s="558"/>
      <c r="I65" s="558"/>
      <c r="J65" s="558"/>
      <c r="K65" s="558"/>
      <c r="L65" s="558"/>
      <c r="M65" s="558"/>
      <c r="N65" s="558"/>
      <c r="O65" s="558"/>
      <c r="P65" s="558"/>
      <c r="Q65" s="558"/>
      <c r="R65" s="558"/>
      <c r="S65" s="558"/>
      <c r="T65" s="558"/>
      <c r="U65" s="558"/>
      <c r="V65" s="558"/>
      <c r="W65" s="558"/>
      <c r="X65" s="558"/>
      <c r="Y65" s="558"/>
      <c r="Z65" s="558"/>
      <c r="AA65" s="558"/>
      <c r="AB65" s="558"/>
      <c r="AC65" s="558"/>
      <c r="AD65" s="558"/>
      <c r="AE65" s="558"/>
      <c r="AF65" s="558"/>
      <c r="AG65" s="558"/>
      <c r="AH65" s="558"/>
      <c r="AI65" s="558"/>
    </row>
    <row r="66" spans="2:35">
      <c r="B66" s="558"/>
      <c r="C66" s="558"/>
      <c r="D66" s="558"/>
      <c r="E66" s="558"/>
      <c r="F66" s="558"/>
      <c r="G66" s="558"/>
      <c r="H66" s="558"/>
      <c r="I66" s="558"/>
      <c r="J66" s="558"/>
      <c r="K66" s="558"/>
      <c r="L66" s="558"/>
      <c r="M66" s="558"/>
      <c r="N66" s="558"/>
      <c r="O66" s="558"/>
      <c r="P66" s="558"/>
      <c r="Q66" s="558"/>
      <c r="R66" s="558"/>
      <c r="S66" s="558"/>
      <c r="T66" s="558"/>
      <c r="U66" s="558"/>
      <c r="V66" s="558"/>
      <c r="W66" s="558"/>
      <c r="X66" s="558"/>
      <c r="Y66" s="558"/>
      <c r="Z66" s="558"/>
      <c r="AA66" s="558"/>
      <c r="AB66" s="558"/>
      <c r="AC66" s="558"/>
      <c r="AD66" s="558"/>
      <c r="AE66" s="558"/>
      <c r="AF66" s="558"/>
      <c r="AG66" s="558"/>
      <c r="AH66" s="558"/>
      <c r="AI66" s="558"/>
    </row>
    <row r="67" spans="2:35">
      <c r="B67" s="558"/>
      <c r="C67" s="558"/>
      <c r="D67" s="558"/>
      <c r="E67" s="558"/>
      <c r="F67" s="558"/>
      <c r="G67" s="558"/>
      <c r="H67" s="558"/>
      <c r="I67" s="558"/>
      <c r="J67" s="558"/>
      <c r="K67" s="558"/>
      <c r="L67" s="558"/>
      <c r="M67" s="558"/>
      <c r="N67" s="558"/>
      <c r="O67" s="558"/>
      <c r="P67" s="558"/>
      <c r="Q67" s="558"/>
      <c r="R67" s="558"/>
      <c r="S67" s="558"/>
      <c r="T67" s="558"/>
      <c r="U67" s="558"/>
      <c r="V67" s="558"/>
      <c r="W67" s="558"/>
      <c r="X67" s="558"/>
      <c r="Y67" s="558"/>
      <c r="Z67" s="558"/>
      <c r="AA67" s="558"/>
      <c r="AB67" s="558"/>
      <c r="AC67" s="558"/>
      <c r="AD67" s="558"/>
      <c r="AE67" s="558"/>
      <c r="AF67" s="558"/>
      <c r="AG67" s="558"/>
      <c r="AH67" s="558"/>
      <c r="AI67" s="558"/>
    </row>
    <row r="68" spans="2:35">
      <c r="B68" s="558"/>
      <c r="C68" s="558"/>
      <c r="D68" s="558"/>
      <c r="E68" s="558"/>
      <c r="F68" s="558"/>
      <c r="G68" s="558"/>
      <c r="H68" s="558"/>
      <c r="I68" s="558"/>
      <c r="J68" s="558"/>
      <c r="K68" s="558"/>
      <c r="L68" s="558"/>
      <c r="M68" s="558"/>
      <c r="N68" s="558"/>
      <c r="O68" s="558"/>
      <c r="P68" s="558"/>
      <c r="Q68" s="558"/>
      <c r="R68" s="558"/>
      <c r="S68" s="558"/>
      <c r="T68" s="558"/>
      <c r="U68" s="558"/>
      <c r="V68" s="558"/>
      <c r="W68" s="558"/>
      <c r="X68" s="558"/>
      <c r="Y68" s="558"/>
      <c r="Z68" s="558"/>
      <c r="AA68" s="558"/>
      <c r="AB68" s="558"/>
      <c r="AC68" s="558"/>
      <c r="AD68" s="558"/>
      <c r="AE68" s="558"/>
      <c r="AF68" s="558"/>
      <c r="AG68" s="558"/>
      <c r="AH68" s="558"/>
      <c r="AI68" s="558"/>
    </row>
    <row r="69" spans="2:35">
      <c r="B69" s="558"/>
      <c r="C69" s="558"/>
      <c r="D69" s="558"/>
      <c r="E69" s="558"/>
      <c r="F69" s="558"/>
      <c r="G69" s="558"/>
      <c r="H69" s="558"/>
      <c r="I69" s="558"/>
      <c r="J69" s="558"/>
      <c r="K69" s="558"/>
      <c r="L69" s="558"/>
      <c r="M69" s="558"/>
      <c r="N69" s="558"/>
      <c r="O69" s="558"/>
      <c r="P69" s="558"/>
      <c r="Q69" s="558"/>
      <c r="R69" s="558"/>
      <c r="S69" s="558"/>
      <c r="T69" s="558"/>
      <c r="U69" s="558"/>
      <c r="V69" s="558"/>
      <c r="W69" s="558"/>
      <c r="X69" s="558"/>
      <c r="Y69" s="558"/>
      <c r="Z69" s="558"/>
      <c r="AA69" s="558"/>
      <c r="AB69" s="558"/>
      <c r="AC69" s="558"/>
      <c r="AD69" s="558"/>
      <c r="AE69" s="558"/>
      <c r="AF69" s="558"/>
      <c r="AG69" s="558"/>
      <c r="AH69" s="558"/>
      <c r="AI69" s="558"/>
    </row>
    <row r="70" spans="2:35">
      <c r="B70" s="558"/>
      <c r="C70" s="558"/>
      <c r="D70" s="558"/>
      <c r="E70" s="558"/>
      <c r="F70" s="558"/>
      <c r="G70" s="558"/>
      <c r="H70" s="558"/>
      <c r="I70" s="558"/>
      <c r="J70" s="558"/>
      <c r="K70" s="558"/>
      <c r="L70" s="558"/>
      <c r="M70" s="558"/>
      <c r="N70" s="558"/>
      <c r="O70" s="558"/>
      <c r="P70" s="558"/>
      <c r="Q70" s="558"/>
      <c r="R70" s="558"/>
      <c r="S70" s="558"/>
      <c r="T70" s="558"/>
      <c r="U70" s="558"/>
      <c r="V70" s="558"/>
      <c r="W70" s="558"/>
      <c r="X70" s="558"/>
      <c r="Y70" s="558"/>
      <c r="Z70" s="558"/>
      <c r="AA70" s="558"/>
      <c r="AB70" s="558"/>
      <c r="AC70" s="558"/>
      <c r="AD70" s="558"/>
      <c r="AE70" s="558"/>
      <c r="AF70" s="558"/>
      <c r="AG70" s="558"/>
      <c r="AH70" s="558"/>
      <c r="AI70" s="558"/>
    </row>
    <row r="71" spans="2:35">
      <c r="B71" s="558"/>
      <c r="C71" s="558"/>
      <c r="D71" s="558"/>
      <c r="E71" s="558"/>
      <c r="F71" s="558"/>
      <c r="G71" s="558"/>
      <c r="H71" s="558"/>
      <c r="I71" s="558"/>
      <c r="J71" s="558"/>
      <c r="K71" s="558"/>
      <c r="L71" s="558"/>
      <c r="M71" s="558"/>
      <c r="N71" s="558"/>
      <c r="O71" s="558"/>
      <c r="P71" s="558"/>
      <c r="Q71" s="558"/>
      <c r="R71" s="558"/>
      <c r="S71" s="558"/>
      <c r="T71" s="558"/>
      <c r="U71" s="558"/>
      <c r="V71" s="558"/>
      <c r="W71" s="558"/>
      <c r="X71" s="558"/>
      <c r="Y71" s="558"/>
      <c r="Z71" s="558"/>
      <c r="AA71" s="558"/>
      <c r="AB71" s="558"/>
      <c r="AC71" s="558"/>
      <c r="AD71" s="558"/>
      <c r="AE71" s="558"/>
      <c r="AF71" s="558"/>
      <c r="AG71" s="558"/>
      <c r="AH71" s="558"/>
      <c r="AI71" s="558"/>
    </row>
    <row r="72" spans="2:35">
      <c r="B72" s="558"/>
      <c r="C72" s="558"/>
      <c r="D72" s="558"/>
      <c r="E72" s="558"/>
      <c r="F72" s="558"/>
      <c r="G72" s="558"/>
      <c r="H72" s="558"/>
      <c r="I72" s="558"/>
      <c r="J72" s="558"/>
      <c r="K72" s="558"/>
      <c r="L72" s="558"/>
      <c r="M72" s="558"/>
      <c r="N72" s="558"/>
      <c r="O72" s="558"/>
      <c r="P72" s="558"/>
      <c r="Q72" s="558"/>
      <c r="R72" s="558"/>
      <c r="S72" s="558"/>
      <c r="T72" s="558"/>
      <c r="U72" s="558"/>
      <c r="V72" s="558"/>
      <c r="W72" s="558"/>
      <c r="X72" s="558"/>
      <c r="Y72" s="558"/>
      <c r="Z72" s="558"/>
      <c r="AA72" s="558"/>
      <c r="AB72" s="558"/>
      <c r="AC72" s="558"/>
      <c r="AD72" s="558"/>
      <c r="AE72" s="558"/>
      <c r="AF72" s="558"/>
      <c r="AG72" s="558"/>
      <c r="AH72" s="558"/>
      <c r="AI72" s="558"/>
    </row>
    <row r="73" spans="2:35">
      <c r="B73" s="558"/>
      <c r="C73" s="558"/>
      <c r="D73" s="558"/>
      <c r="E73" s="558"/>
      <c r="F73" s="558"/>
      <c r="G73" s="558"/>
      <c r="H73" s="558"/>
      <c r="I73" s="558"/>
      <c r="J73" s="558"/>
      <c r="K73" s="558"/>
      <c r="L73" s="558"/>
      <c r="M73" s="558"/>
      <c r="N73" s="558"/>
      <c r="O73" s="558"/>
      <c r="P73" s="558"/>
      <c r="Q73" s="558"/>
      <c r="R73" s="558"/>
      <c r="S73" s="558"/>
      <c r="T73" s="558"/>
      <c r="U73" s="558"/>
      <c r="V73" s="558"/>
      <c r="W73" s="558"/>
      <c r="X73" s="558"/>
      <c r="Y73" s="558"/>
      <c r="Z73" s="558"/>
      <c r="AA73" s="558"/>
      <c r="AB73" s="558"/>
      <c r="AC73" s="558"/>
      <c r="AD73" s="558"/>
      <c r="AE73" s="558"/>
      <c r="AF73" s="558"/>
      <c r="AG73" s="558"/>
      <c r="AH73" s="558"/>
      <c r="AI73" s="558"/>
    </row>
    <row r="74" spans="2:35">
      <c r="B74" s="558"/>
      <c r="C74" s="558"/>
      <c r="D74" s="558"/>
      <c r="E74" s="558"/>
      <c r="F74" s="558"/>
      <c r="G74" s="558"/>
      <c r="H74" s="558"/>
      <c r="I74" s="558"/>
      <c r="J74" s="558"/>
      <c r="K74" s="558"/>
      <c r="L74" s="558"/>
      <c r="M74" s="558"/>
      <c r="N74" s="558"/>
      <c r="O74" s="558"/>
      <c r="P74" s="558"/>
      <c r="Q74" s="558"/>
      <c r="R74" s="558"/>
      <c r="S74" s="558"/>
      <c r="T74" s="558"/>
      <c r="U74" s="558"/>
      <c r="V74" s="558"/>
      <c r="W74" s="558"/>
      <c r="X74" s="558"/>
      <c r="Y74" s="558"/>
      <c r="Z74" s="558"/>
      <c r="AA74" s="558"/>
      <c r="AB74" s="558"/>
      <c r="AC74" s="558"/>
      <c r="AD74" s="558"/>
      <c r="AE74" s="558"/>
      <c r="AF74" s="558"/>
      <c r="AG74" s="558"/>
      <c r="AH74" s="558"/>
      <c r="AI74" s="558"/>
    </row>
    <row r="75" spans="2:35">
      <c r="B75" s="558"/>
      <c r="C75" s="558"/>
      <c r="D75" s="558"/>
      <c r="E75" s="558"/>
      <c r="F75" s="558"/>
      <c r="G75" s="558"/>
      <c r="H75" s="558"/>
      <c r="I75" s="558"/>
      <c r="J75" s="558"/>
      <c r="K75" s="558"/>
      <c r="L75" s="558"/>
      <c r="M75" s="558"/>
      <c r="N75" s="558"/>
      <c r="O75" s="558"/>
      <c r="P75" s="558"/>
      <c r="Q75" s="558"/>
      <c r="R75" s="558"/>
      <c r="S75" s="558"/>
      <c r="T75" s="558"/>
      <c r="U75" s="558"/>
      <c r="V75" s="558"/>
      <c r="W75" s="558"/>
      <c r="X75" s="558"/>
      <c r="Y75" s="558"/>
      <c r="Z75" s="558"/>
      <c r="AA75" s="558"/>
      <c r="AB75" s="558"/>
      <c r="AC75" s="558"/>
      <c r="AD75" s="558"/>
      <c r="AE75" s="558"/>
      <c r="AF75" s="558"/>
      <c r="AG75" s="558"/>
      <c r="AH75" s="558"/>
      <c r="AI75" s="558"/>
    </row>
    <row r="76" spans="2:35">
      <c r="B76" s="558"/>
      <c r="C76" s="558"/>
      <c r="D76" s="558"/>
      <c r="E76" s="558"/>
      <c r="F76" s="558"/>
      <c r="G76" s="558"/>
      <c r="H76" s="558"/>
      <c r="I76" s="558"/>
      <c r="J76" s="558"/>
      <c r="K76" s="558"/>
      <c r="L76" s="558"/>
      <c r="M76" s="558"/>
      <c r="N76" s="558"/>
      <c r="O76" s="558"/>
      <c r="P76" s="558"/>
      <c r="Q76" s="558"/>
      <c r="R76" s="558"/>
      <c r="S76" s="558"/>
      <c r="T76" s="558"/>
      <c r="U76" s="558"/>
      <c r="V76" s="558"/>
      <c r="W76" s="558"/>
      <c r="X76" s="558"/>
      <c r="Y76" s="558"/>
      <c r="Z76" s="558"/>
      <c r="AA76" s="558"/>
      <c r="AB76" s="558"/>
      <c r="AC76" s="558"/>
      <c r="AD76" s="558"/>
      <c r="AE76" s="558"/>
      <c r="AF76" s="558"/>
      <c r="AG76" s="558"/>
      <c r="AH76" s="558"/>
      <c r="AI76" s="558"/>
    </row>
    <row r="77" spans="2:35">
      <c r="B77" s="558"/>
      <c r="C77" s="558"/>
      <c r="D77" s="558"/>
      <c r="E77" s="558"/>
      <c r="F77" s="558"/>
      <c r="G77" s="558"/>
      <c r="H77" s="558"/>
      <c r="I77" s="558"/>
      <c r="J77" s="558"/>
      <c r="K77" s="558"/>
      <c r="L77" s="558"/>
      <c r="M77" s="558"/>
      <c r="N77" s="558"/>
      <c r="O77" s="558"/>
      <c r="P77" s="558"/>
      <c r="Q77" s="558"/>
      <c r="R77" s="558"/>
      <c r="S77" s="558"/>
      <c r="T77" s="558"/>
      <c r="U77" s="558"/>
      <c r="V77" s="558"/>
      <c r="W77" s="558"/>
      <c r="X77" s="558"/>
      <c r="Y77" s="558"/>
      <c r="Z77" s="558"/>
      <c r="AA77" s="558"/>
      <c r="AB77" s="558"/>
      <c r="AC77" s="558"/>
      <c r="AD77" s="558"/>
      <c r="AE77" s="558"/>
      <c r="AF77" s="558"/>
      <c r="AG77" s="558"/>
      <c r="AH77" s="558"/>
      <c r="AI77" s="558"/>
    </row>
    <row r="78" spans="2:35">
      <c r="B78" s="558"/>
      <c r="C78" s="558"/>
      <c r="D78" s="558"/>
      <c r="E78" s="558"/>
      <c r="F78" s="558"/>
      <c r="G78" s="558"/>
      <c r="H78" s="558"/>
      <c r="I78" s="558"/>
      <c r="J78" s="558"/>
      <c r="K78" s="558"/>
      <c r="L78" s="558"/>
      <c r="M78" s="558"/>
      <c r="N78" s="558"/>
      <c r="O78" s="558"/>
      <c r="P78" s="558"/>
      <c r="Q78" s="558"/>
      <c r="R78" s="558"/>
      <c r="S78" s="558"/>
      <c r="T78" s="558"/>
      <c r="U78" s="558"/>
      <c r="V78" s="558"/>
      <c r="W78" s="558"/>
      <c r="X78" s="558"/>
      <c r="Y78" s="558"/>
      <c r="Z78" s="558"/>
      <c r="AA78" s="558"/>
      <c r="AB78" s="558"/>
      <c r="AC78" s="558"/>
      <c r="AD78" s="558"/>
      <c r="AE78" s="558"/>
      <c r="AF78" s="558"/>
      <c r="AG78" s="558"/>
      <c r="AH78" s="558"/>
      <c r="AI78" s="558"/>
    </row>
    <row r="79" spans="2:35">
      <c r="B79" s="558"/>
      <c r="C79" s="558"/>
      <c r="D79" s="558"/>
      <c r="E79" s="558"/>
      <c r="F79" s="558"/>
      <c r="G79" s="558"/>
      <c r="H79" s="558"/>
      <c r="I79" s="558"/>
      <c r="J79" s="558"/>
      <c r="K79" s="558"/>
      <c r="L79" s="558"/>
      <c r="M79" s="558"/>
      <c r="N79" s="558"/>
      <c r="O79" s="558"/>
      <c r="P79" s="558"/>
      <c r="Q79" s="558"/>
      <c r="R79" s="558"/>
      <c r="S79" s="558"/>
      <c r="T79" s="558"/>
      <c r="U79" s="558"/>
      <c r="V79" s="558"/>
      <c r="W79" s="558"/>
      <c r="X79" s="558"/>
      <c r="Y79" s="558"/>
      <c r="Z79" s="558"/>
      <c r="AA79" s="558"/>
      <c r="AB79" s="558"/>
      <c r="AC79" s="558"/>
      <c r="AD79" s="558"/>
      <c r="AE79" s="558"/>
      <c r="AF79" s="558"/>
      <c r="AG79" s="558"/>
      <c r="AH79" s="558"/>
      <c r="AI79" s="558"/>
    </row>
    <row r="80" spans="2:35">
      <c r="B80" s="558"/>
      <c r="C80" s="558"/>
      <c r="D80" s="558"/>
      <c r="E80" s="558"/>
      <c r="F80" s="558"/>
      <c r="G80" s="558"/>
      <c r="H80" s="558"/>
      <c r="I80" s="558"/>
      <c r="J80" s="558"/>
      <c r="K80" s="558"/>
      <c r="L80" s="558"/>
      <c r="M80" s="558"/>
      <c r="N80" s="558"/>
      <c r="O80" s="558"/>
      <c r="P80" s="558"/>
      <c r="Q80" s="558"/>
      <c r="R80" s="558"/>
      <c r="S80" s="558"/>
      <c r="T80" s="558"/>
      <c r="U80" s="558"/>
      <c r="V80" s="558"/>
      <c r="W80" s="558"/>
      <c r="X80" s="558"/>
      <c r="Y80" s="558"/>
      <c r="Z80" s="558"/>
      <c r="AA80" s="558"/>
      <c r="AB80" s="558"/>
      <c r="AC80" s="558"/>
      <c r="AD80" s="558"/>
      <c r="AE80" s="558"/>
      <c r="AF80" s="558"/>
      <c r="AG80" s="558"/>
      <c r="AH80" s="558"/>
      <c r="AI80" s="558"/>
    </row>
    <row r="81" spans="2:35">
      <c r="B81" s="558"/>
      <c r="C81" s="558"/>
      <c r="D81" s="558"/>
      <c r="E81" s="558"/>
      <c r="F81" s="558"/>
      <c r="G81" s="558"/>
      <c r="H81" s="558"/>
      <c r="I81" s="558"/>
      <c r="J81" s="558"/>
      <c r="K81" s="558"/>
      <c r="L81" s="558"/>
      <c r="M81" s="558"/>
      <c r="N81" s="558"/>
      <c r="O81" s="558"/>
      <c r="P81" s="558"/>
      <c r="Q81" s="558"/>
      <c r="R81" s="558"/>
      <c r="S81" s="558"/>
      <c r="T81" s="558"/>
      <c r="U81" s="558"/>
      <c r="V81" s="558"/>
      <c r="W81" s="558"/>
      <c r="X81" s="558"/>
      <c r="Y81" s="558"/>
      <c r="Z81" s="558"/>
      <c r="AA81" s="558"/>
      <c r="AB81" s="558"/>
      <c r="AC81" s="558"/>
      <c r="AD81" s="558"/>
      <c r="AE81" s="558"/>
      <c r="AF81" s="558"/>
      <c r="AG81" s="558"/>
      <c r="AH81" s="558"/>
      <c r="AI81" s="558"/>
    </row>
    <row r="82" spans="2:35">
      <c r="B82" s="558"/>
      <c r="C82" s="558"/>
      <c r="D82" s="558"/>
      <c r="E82" s="558"/>
      <c r="F82" s="558"/>
      <c r="G82" s="558"/>
      <c r="H82" s="558"/>
      <c r="I82" s="558"/>
      <c r="J82" s="558"/>
      <c r="K82" s="558"/>
      <c r="L82" s="558"/>
      <c r="M82" s="558"/>
      <c r="N82" s="558"/>
      <c r="O82" s="558"/>
      <c r="P82" s="558"/>
      <c r="Q82" s="558"/>
      <c r="R82" s="558"/>
      <c r="S82" s="558"/>
      <c r="T82" s="558"/>
      <c r="U82" s="558"/>
      <c r="V82" s="558"/>
      <c r="W82" s="558"/>
      <c r="X82" s="558"/>
      <c r="Y82" s="558"/>
      <c r="Z82" s="558"/>
      <c r="AA82" s="558"/>
      <c r="AB82" s="558"/>
      <c r="AC82" s="558"/>
      <c r="AD82" s="558"/>
      <c r="AE82" s="558"/>
      <c r="AF82" s="558"/>
      <c r="AG82" s="558"/>
      <c r="AH82" s="558"/>
      <c r="AI82" s="558"/>
    </row>
    <row r="83" spans="2:35">
      <c r="B83" s="558"/>
      <c r="C83" s="558"/>
      <c r="D83" s="558"/>
      <c r="E83" s="558"/>
      <c r="F83" s="558"/>
      <c r="G83" s="558"/>
      <c r="H83" s="558"/>
      <c r="I83" s="558"/>
      <c r="J83" s="558"/>
      <c r="K83" s="558"/>
      <c r="L83" s="558"/>
      <c r="M83" s="558"/>
      <c r="N83" s="558"/>
      <c r="O83" s="558"/>
      <c r="P83" s="558"/>
      <c r="Q83" s="558"/>
      <c r="R83" s="558"/>
      <c r="S83" s="558"/>
      <c r="T83" s="558"/>
      <c r="U83" s="558"/>
      <c r="V83" s="558"/>
      <c r="W83" s="558"/>
      <c r="X83" s="558"/>
      <c r="Y83" s="558"/>
      <c r="Z83" s="558"/>
      <c r="AA83" s="558"/>
      <c r="AB83" s="558"/>
      <c r="AC83" s="558"/>
      <c r="AD83" s="558"/>
      <c r="AE83" s="558"/>
      <c r="AF83" s="558"/>
      <c r="AG83" s="558"/>
      <c r="AH83" s="558"/>
      <c r="AI83" s="558"/>
    </row>
    <row r="84" spans="2:35">
      <c r="B84" s="558"/>
      <c r="C84" s="558"/>
      <c r="D84" s="558"/>
      <c r="E84" s="558"/>
      <c r="F84" s="558"/>
      <c r="G84" s="558"/>
      <c r="H84" s="558"/>
      <c r="I84" s="558"/>
      <c r="J84" s="558"/>
      <c r="K84" s="558"/>
      <c r="L84" s="558"/>
      <c r="M84" s="558"/>
      <c r="N84" s="558"/>
      <c r="O84" s="558"/>
      <c r="P84" s="558"/>
      <c r="Q84" s="558"/>
      <c r="R84" s="558"/>
      <c r="S84" s="558"/>
      <c r="T84" s="558"/>
      <c r="U84" s="558"/>
      <c r="V84" s="558"/>
      <c r="W84" s="558"/>
      <c r="X84" s="558"/>
      <c r="Y84" s="558"/>
      <c r="Z84" s="558"/>
      <c r="AA84" s="558"/>
      <c r="AB84" s="558"/>
      <c r="AC84" s="558"/>
      <c r="AD84" s="558"/>
      <c r="AE84" s="558"/>
      <c r="AF84" s="558"/>
      <c r="AG84" s="558"/>
      <c r="AH84" s="558"/>
      <c r="AI84" s="558"/>
    </row>
    <row r="85" spans="2:35">
      <c r="B85" s="558"/>
      <c r="C85" s="558"/>
      <c r="D85" s="558"/>
      <c r="E85" s="558"/>
      <c r="F85" s="558"/>
      <c r="G85" s="558"/>
      <c r="H85" s="558"/>
      <c r="I85" s="558"/>
      <c r="J85" s="558"/>
      <c r="K85" s="558"/>
      <c r="L85" s="558"/>
      <c r="M85" s="558"/>
      <c r="N85" s="558"/>
      <c r="O85" s="558"/>
      <c r="P85" s="558"/>
      <c r="Q85" s="558"/>
      <c r="R85" s="558"/>
      <c r="S85" s="558"/>
      <c r="T85" s="558"/>
      <c r="U85" s="558"/>
      <c r="V85" s="558"/>
      <c r="W85" s="558"/>
      <c r="X85" s="558"/>
      <c r="Y85" s="558"/>
      <c r="Z85" s="558"/>
      <c r="AA85" s="558"/>
      <c r="AB85" s="558"/>
      <c r="AC85" s="558"/>
      <c r="AD85" s="558"/>
      <c r="AE85" s="558"/>
      <c r="AF85" s="558"/>
      <c r="AG85" s="558"/>
      <c r="AH85" s="558"/>
      <c r="AI85" s="558"/>
    </row>
    <row r="86" spans="2:35">
      <c r="B86" s="558"/>
      <c r="C86" s="558"/>
      <c r="D86" s="558"/>
      <c r="E86" s="558"/>
      <c r="F86" s="558"/>
      <c r="G86" s="558"/>
      <c r="H86" s="558"/>
      <c r="I86" s="558"/>
      <c r="J86" s="558"/>
      <c r="K86" s="558"/>
      <c r="L86" s="558"/>
      <c r="M86" s="558"/>
      <c r="N86" s="558"/>
      <c r="O86" s="558"/>
      <c r="P86" s="558"/>
      <c r="Q86" s="558"/>
      <c r="R86" s="558"/>
      <c r="S86" s="558"/>
      <c r="T86" s="558"/>
      <c r="U86" s="558"/>
      <c r="V86" s="558"/>
      <c r="W86" s="558"/>
      <c r="X86" s="558"/>
      <c r="Y86" s="558"/>
      <c r="Z86" s="558"/>
      <c r="AA86" s="558"/>
      <c r="AB86" s="558"/>
      <c r="AC86" s="558"/>
      <c r="AD86" s="558"/>
      <c r="AE86" s="558"/>
      <c r="AF86" s="558"/>
      <c r="AG86" s="558"/>
      <c r="AH86" s="558"/>
      <c r="AI86" s="558"/>
    </row>
    <row r="87" spans="2:35">
      <c r="B87" s="558"/>
      <c r="C87" s="558"/>
      <c r="D87" s="558"/>
      <c r="E87" s="558"/>
      <c r="F87" s="558"/>
      <c r="G87" s="558"/>
      <c r="H87" s="558"/>
      <c r="I87" s="558"/>
      <c r="J87" s="558"/>
      <c r="K87" s="558"/>
      <c r="L87" s="558"/>
      <c r="M87" s="558"/>
      <c r="N87" s="558"/>
      <c r="O87" s="558"/>
      <c r="P87" s="558"/>
      <c r="Q87" s="558"/>
      <c r="R87" s="558"/>
      <c r="S87" s="558"/>
      <c r="T87" s="558"/>
      <c r="U87" s="558"/>
      <c r="V87" s="558"/>
      <c r="W87" s="558"/>
      <c r="X87" s="558"/>
      <c r="Y87" s="558"/>
      <c r="Z87" s="558"/>
      <c r="AA87" s="558"/>
      <c r="AB87" s="558"/>
      <c r="AC87" s="558"/>
      <c r="AD87" s="558"/>
      <c r="AE87" s="558"/>
      <c r="AF87" s="558"/>
      <c r="AG87" s="558"/>
      <c r="AH87" s="558"/>
      <c r="AI87" s="558"/>
    </row>
    <row r="88" spans="2:35">
      <c r="B88" s="558"/>
      <c r="C88" s="558"/>
      <c r="D88" s="558"/>
      <c r="E88" s="558"/>
      <c r="F88" s="558"/>
      <c r="G88" s="558"/>
      <c r="H88" s="558"/>
      <c r="I88" s="558"/>
      <c r="J88" s="558"/>
      <c r="K88" s="558"/>
      <c r="L88" s="558"/>
      <c r="M88" s="558"/>
      <c r="N88" s="558"/>
      <c r="O88" s="558"/>
      <c r="P88" s="558"/>
      <c r="Q88" s="558"/>
      <c r="R88" s="558"/>
      <c r="S88" s="558"/>
      <c r="T88" s="558"/>
      <c r="U88" s="558"/>
      <c r="V88" s="558"/>
      <c r="W88" s="558"/>
      <c r="X88" s="558"/>
      <c r="Y88" s="558"/>
      <c r="Z88" s="558"/>
      <c r="AA88" s="558"/>
      <c r="AB88" s="558"/>
      <c r="AC88" s="558"/>
      <c r="AD88" s="558"/>
      <c r="AE88" s="558"/>
      <c r="AF88" s="558"/>
      <c r="AG88" s="558"/>
      <c r="AH88" s="558"/>
      <c r="AI88" s="558"/>
    </row>
    <row r="89" spans="2:35">
      <c r="B89" s="558"/>
      <c r="C89" s="558"/>
      <c r="D89" s="558"/>
      <c r="E89" s="558"/>
      <c r="F89" s="558"/>
      <c r="G89" s="558"/>
      <c r="H89" s="558"/>
      <c r="I89" s="558"/>
      <c r="J89" s="558"/>
      <c r="K89" s="558"/>
      <c r="L89" s="558"/>
      <c r="M89" s="558"/>
      <c r="N89" s="558"/>
      <c r="O89" s="558"/>
      <c r="P89" s="558"/>
      <c r="Q89" s="558"/>
      <c r="R89" s="558"/>
      <c r="S89" s="558"/>
      <c r="T89" s="558"/>
      <c r="U89" s="558"/>
      <c r="V89" s="558"/>
      <c r="W89" s="558"/>
      <c r="X89" s="558"/>
      <c r="Y89" s="558"/>
      <c r="Z89" s="558"/>
      <c r="AA89" s="558"/>
      <c r="AB89" s="558"/>
      <c r="AC89" s="558"/>
      <c r="AD89" s="558"/>
      <c r="AE89" s="558"/>
      <c r="AF89" s="558"/>
      <c r="AG89" s="558"/>
      <c r="AH89" s="558"/>
      <c r="AI89" s="558"/>
    </row>
    <row r="90" spans="2:35">
      <c r="B90" s="558"/>
      <c r="C90" s="558"/>
      <c r="D90" s="558"/>
      <c r="E90" s="558"/>
      <c r="F90" s="558"/>
      <c r="G90" s="558"/>
      <c r="H90" s="558"/>
      <c r="I90" s="558"/>
      <c r="J90" s="558"/>
      <c r="K90" s="558"/>
      <c r="L90" s="558"/>
      <c r="M90" s="558"/>
      <c r="N90" s="558"/>
      <c r="O90" s="558"/>
      <c r="P90" s="558"/>
      <c r="Q90" s="558"/>
      <c r="R90" s="558"/>
      <c r="S90" s="558"/>
      <c r="T90" s="558"/>
      <c r="U90" s="558"/>
      <c r="V90" s="558"/>
      <c r="W90" s="558"/>
      <c r="X90" s="558"/>
      <c r="Y90" s="558"/>
      <c r="Z90" s="558"/>
      <c r="AA90" s="558"/>
      <c r="AB90" s="558"/>
      <c r="AC90" s="558"/>
      <c r="AD90" s="558"/>
      <c r="AE90" s="558"/>
      <c r="AF90" s="558"/>
      <c r="AG90" s="558"/>
      <c r="AH90" s="558"/>
      <c r="AI90" s="558"/>
    </row>
    <row r="91" spans="2:35">
      <c r="B91" s="558"/>
      <c r="C91" s="558"/>
      <c r="D91" s="558"/>
      <c r="E91" s="558"/>
      <c r="F91" s="558"/>
      <c r="G91" s="558"/>
      <c r="H91" s="558"/>
      <c r="I91" s="558"/>
      <c r="J91" s="558"/>
      <c r="K91" s="558"/>
      <c r="L91" s="558"/>
      <c r="M91" s="558"/>
      <c r="N91" s="558"/>
      <c r="O91" s="558"/>
      <c r="P91" s="558"/>
      <c r="Q91" s="558"/>
      <c r="R91" s="558"/>
      <c r="S91" s="558"/>
      <c r="T91" s="558"/>
      <c r="U91" s="558"/>
      <c r="V91" s="558"/>
      <c r="W91" s="558"/>
      <c r="X91" s="558"/>
      <c r="Y91" s="558"/>
      <c r="Z91" s="558"/>
      <c r="AA91" s="558"/>
      <c r="AB91" s="558"/>
      <c r="AC91" s="558"/>
      <c r="AD91" s="558"/>
      <c r="AE91" s="558"/>
      <c r="AF91" s="558"/>
      <c r="AG91" s="558"/>
      <c r="AH91" s="558"/>
      <c r="AI91" s="558"/>
    </row>
    <row r="92" spans="2:35">
      <c r="B92" s="558"/>
      <c r="C92" s="558"/>
      <c r="D92" s="558"/>
      <c r="E92" s="558"/>
      <c r="F92" s="558"/>
      <c r="G92" s="558"/>
      <c r="H92" s="558"/>
      <c r="I92" s="558"/>
      <c r="J92" s="558"/>
      <c r="K92" s="558"/>
      <c r="L92" s="558"/>
      <c r="M92" s="558"/>
      <c r="N92" s="558"/>
      <c r="O92" s="558"/>
      <c r="P92" s="558"/>
      <c r="Q92" s="558"/>
      <c r="R92" s="558"/>
      <c r="S92" s="558"/>
      <c r="T92" s="558"/>
      <c r="U92" s="558"/>
      <c r="V92" s="558"/>
      <c r="W92" s="558"/>
      <c r="X92" s="558"/>
      <c r="Y92" s="558"/>
      <c r="Z92" s="558"/>
      <c r="AA92" s="558"/>
      <c r="AB92" s="558"/>
      <c r="AC92" s="558"/>
      <c r="AD92" s="558"/>
      <c r="AE92" s="558"/>
      <c r="AF92" s="558"/>
      <c r="AG92" s="558"/>
      <c r="AH92" s="558"/>
      <c r="AI92" s="558"/>
    </row>
    <row r="93" spans="2:35">
      <c r="B93" s="558"/>
      <c r="C93" s="558"/>
      <c r="D93" s="558"/>
      <c r="E93" s="558"/>
      <c r="F93" s="558"/>
      <c r="G93" s="558"/>
      <c r="H93" s="558"/>
      <c r="I93" s="558"/>
      <c r="J93" s="558"/>
      <c r="K93" s="558"/>
      <c r="L93" s="558"/>
      <c r="M93" s="558"/>
      <c r="N93" s="558"/>
      <c r="O93" s="558"/>
      <c r="P93" s="558"/>
      <c r="Q93" s="558"/>
      <c r="R93" s="558"/>
      <c r="S93" s="558"/>
      <c r="T93" s="558"/>
      <c r="U93" s="558"/>
      <c r="V93" s="558"/>
      <c r="W93" s="558"/>
      <c r="X93" s="558"/>
      <c r="Y93" s="558"/>
      <c r="Z93" s="558"/>
      <c r="AA93" s="558"/>
      <c r="AB93" s="558"/>
      <c r="AC93" s="558"/>
      <c r="AD93" s="558"/>
      <c r="AE93" s="558"/>
      <c r="AF93" s="558"/>
      <c r="AG93" s="558"/>
      <c r="AH93" s="558"/>
      <c r="AI93" s="558"/>
    </row>
    <row r="94" spans="2:35">
      <c r="B94" s="558"/>
      <c r="C94" s="558"/>
      <c r="D94" s="558"/>
      <c r="E94" s="558"/>
      <c r="F94" s="558"/>
      <c r="G94" s="558"/>
      <c r="H94" s="558"/>
      <c r="I94" s="558"/>
      <c r="J94" s="558"/>
      <c r="K94" s="558"/>
      <c r="L94" s="558"/>
      <c r="M94" s="558"/>
      <c r="N94" s="558"/>
      <c r="O94" s="558"/>
      <c r="P94" s="558"/>
      <c r="Q94" s="558"/>
      <c r="R94" s="558"/>
      <c r="S94" s="558"/>
      <c r="T94" s="558"/>
      <c r="U94" s="558"/>
      <c r="V94" s="558"/>
      <c r="W94" s="558"/>
      <c r="X94" s="558"/>
      <c r="Y94" s="558"/>
      <c r="Z94" s="558"/>
      <c r="AA94" s="558"/>
      <c r="AB94" s="558"/>
      <c r="AC94" s="558"/>
      <c r="AD94" s="558"/>
      <c r="AE94" s="558"/>
      <c r="AF94" s="558"/>
      <c r="AG94" s="558"/>
      <c r="AH94" s="558"/>
      <c r="AI94" s="558"/>
    </row>
    <row r="95" spans="2:35">
      <c r="B95" s="558"/>
      <c r="C95" s="558"/>
      <c r="D95" s="558"/>
      <c r="E95" s="558"/>
      <c r="F95" s="558"/>
      <c r="G95" s="558"/>
      <c r="H95" s="558"/>
      <c r="I95" s="558"/>
      <c r="J95" s="558"/>
      <c r="K95" s="558"/>
      <c r="L95" s="558"/>
      <c r="M95" s="558"/>
      <c r="N95" s="558"/>
      <c r="O95" s="558"/>
      <c r="P95" s="558"/>
      <c r="Q95" s="558"/>
      <c r="R95" s="558"/>
      <c r="S95" s="558"/>
      <c r="T95" s="558"/>
      <c r="U95" s="558"/>
      <c r="V95" s="558"/>
      <c r="W95" s="558"/>
      <c r="X95" s="558"/>
      <c r="Y95" s="558"/>
      <c r="Z95" s="558"/>
      <c r="AA95" s="558"/>
      <c r="AB95" s="558"/>
      <c r="AC95" s="558"/>
      <c r="AD95" s="558"/>
      <c r="AE95" s="558"/>
      <c r="AF95" s="558"/>
      <c r="AG95" s="558"/>
      <c r="AH95" s="558"/>
      <c r="AI95" s="558"/>
    </row>
    <row r="96" spans="2:35">
      <c r="B96" s="558"/>
      <c r="C96" s="558"/>
      <c r="D96" s="558"/>
      <c r="E96" s="558"/>
      <c r="F96" s="558"/>
      <c r="G96" s="558"/>
      <c r="H96" s="558"/>
      <c r="I96" s="558"/>
      <c r="J96" s="558"/>
      <c r="K96" s="558"/>
      <c r="L96" s="558"/>
      <c r="M96" s="558"/>
      <c r="N96" s="558"/>
      <c r="O96" s="558"/>
      <c r="P96" s="558"/>
      <c r="Q96" s="558"/>
      <c r="R96" s="558"/>
      <c r="S96" s="558"/>
      <c r="T96" s="558"/>
      <c r="U96" s="558"/>
      <c r="V96" s="558"/>
      <c r="W96" s="558"/>
      <c r="X96" s="558"/>
      <c r="Y96" s="558"/>
      <c r="Z96" s="558"/>
      <c r="AA96" s="558"/>
      <c r="AB96" s="558"/>
      <c r="AC96" s="558"/>
      <c r="AD96" s="558"/>
      <c r="AE96" s="558"/>
      <c r="AF96" s="558"/>
      <c r="AG96" s="558"/>
      <c r="AH96" s="558"/>
      <c r="AI96" s="558"/>
    </row>
    <row r="97" spans="2:35">
      <c r="B97" s="558"/>
      <c r="C97" s="558"/>
      <c r="D97" s="558"/>
      <c r="E97" s="558"/>
      <c r="F97" s="558"/>
      <c r="G97" s="558"/>
      <c r="H97" s="558"/>
      <c r="I97" s="558"/>
      <c r="J97" s="558"/>
      <c r="K97" s="558"/>
      <c r="L97" s="558"/>
      <c r="M97" s="558"/>
      <c r="N97" s="558"/>
      <c r="O97" s="558"/>
      <c r="P97" s="558"/>
      <c r="Q97" s="558"/>
      <c r="R97" s="558"/>
      <c r="S97" s="558"/>
      <c r="T97" s="558"/>
      <c r="U97" s="558"/>
      <c r="V97" s="558"/>
      <c r="W97" s="558"/>
      <c r="X97" s="558"/>
      <c r="Y97" s="558"/>
      <c r="Z97" s="558"/>
      <c r="AA97" s="558"/>
      <c r="AB97" s="558"/>
      <c r="AC97" s="558"/>
      <c r="AD97" s="558"/>
      <c r="AE97" s="558"/>
      <c r="AF97" s="558"/>
      <c r="AG97" s="558"/>
      <c r="AH97" s="558"/>
      <c r="AI97" s="558"/>
    </row>
    <row r="98" spans="2:35">
      <c r="B98" s="558"/>
      <c r="C98" s="558"/>
      <c r="D98" s="558"/>
      <c r="E98" s="558"/>
      <c r="F98" s="558"/>
      <c r="G98" s="558"/>
      <c r="H98" s="558"/>
      <c r="I98" s="558"/>
      <c r="J98" s="558"/>
      <c r="K98" s="558"/>
      <c r="L98" s="558"/>
      <c r="M98" s="558"/>
      <c r="N98" s="558"/>
      <c r="O98" s="558"/>
      <c r="P98" s="558"/>
      <c r="Q98" s="558"/>
      <c r="R98" s="558"/>
      <c r="S98" s="558"/>
      <c r="T98" s="558"/>
      <c r="U98" s="558"/>
      <c r="V98" s="558"/>
      <c r="W98" s="558"/>
      <c r="X98" s="558"/>
      <c r="Y98" s="558"/>
      <c r="Z98" s="558"/>
      <c r="AA98" s="558"/>
      <c r="AB98" s="558"/>
      <c r="AC98" s="558"/>
      <c r="AD98" s="558"/>
      <c r="AE98" s="558"/>
      <c r="AF98" s="558"/>
      <c r="AG98" s="558"/>
      <c r="AH98" s="558"/>
      <c r="AI98" s="558"/>
    </row>
    <row r="99" spans="2:35">
      <c r="B99" s="558"/>
      <c r="C99" s="558"/>
      <c r="D99" s="558"/>
      <c r="E99" s="558"/>
      <c r="F99" s="558"/>
      <c r="G99" s="558"/>
      <c r="H99" s="558"/>
      <c r="I99" s="558"/>
      <c r="J99" s="558"/>
      <c r="K99" s="558"/>
      <c r="L99" s="558"/>
      <c r="M99" s="558"/>
      <c r="N99" s="558"/>
      <c r="O99" s="558"/>
      <c r="P99" s="558"/>
      <c r="Q99" s="558"/>
      <c r="R99" s="558"/>
      <c r="S99" s="558"/>
      <c r="T99" s="558"/>
      <c r="U99" s="558"/>
      <c r="V99" s="558"/>
      <c r="W99" s="558"/>
      <c r="X99" s="558"/>
      <c r="Y99" s="558"/>
      <c r="Z99" s="558"/>
      <c r="AA99" s="558"/>
      <c r="AB99" s="558"/>
      <c r="AC99" s="558"/>
      <c r="AD99" s="558"/>
      <c r="AE99" s="558"/>
      <c r="AF99" s="558"/>
      <c r="AG99" s="558"/>
      <c r="AH99" s="558"/>
      <c r="AI99" s="558"/>
    </row>
    <row r="100" spans="2:35">
      <c r="B100" s="558"/>
      <c r="C100" s="558"/>
      <c r="D100" s="558"/>
      <c r="E100" s="558"/>
      <c r="F100" s="558"/>
      <c r="G100" s="558"/>
      <c r="H100" s="558"/>
      <c r="I100" s="558"/>
      <c r="J100" s="558"/>
      <c r="K100" s="558"/>
      <c r="L100" s="558"/>
      <c r="M100" s="558"/>
      <c r="N100" s="558"/>
      <c r="O100" s="558"/>
      <c r="P100" s="558"/>
      <c r="Q100" s="558"/>
      <c r="R100" s="558"/>
      <c r="S100" s="558"/>
      <c r="T100" s="558"/>
      <c r="U100" s="558"/>
      <c r="V100" s="558"/>
      <c r="W100" s="558"/>
      <c r="X100" s="558"/>
      <c r="Y100" s="558"/>
      <c r="Z100" s="558"/>
      <c r="AA100" s="558"/>
      <c r="AB100" s="558"/>
      <c r="AC100" s="558"/>
      <c r="AD100" s="558"/>
      <c r="AE100" s="558"/>
      <c r="AF100" s="558"/>
      <c r="AG100" s="558"/>
      <c r="AH100" s="558"/>
      <c r="AI100" s="558"/>
    </row>
    <row r="101" spans="2:35">
      <c r="B101" s="558"/>
      <c r="C101" s="558"/>
      <c r="D101" s="558"/>
      <c r="E101" s="558"/>
      <c r="F101" s="558"/>
      <c r="G101" s="558"/>
      <c r="H101" s="558"/>
      <c r="I101" s="558"/>
      <c r="J101" s="558"/>
      <c r="K101" s="558"/>
      <c r="L101" s="558"/>
      <c r="M101" s="558"/>
      <c r="N101" s="558"/>
      <c r="O101" s="558"/>
      <c r="P101" s="558"/>
      <c r="Q101" s="558"/>
      <c r="R101" s="558"/>
      <c r="S101" s="558"/>
      <c r="T101" s="558"/>
      <c r="U101" s="558"/>
      <c r="V101" s="558"/>
      <c r="W101" s="558"/>
      <c r="X101" s="558"/>
      <c r="Y101" s="558"/>
      <c r="Z101" s="558"/>
      <c r="AA101" s="558"/>
      <c r="AB101" s="558"/>
      <c r="AC101" s="558"/>
      <c r="AD101" s="558"/>
      <c r="AE101" s="558"/>
      <c r="AF101" s="558"/>
      <c r="AG101" s="558"/>
      <c r="AH101" s="558"/>
      <c r="AI101" s="558"/>
    </row>
    <row r="102" spans="2:35">
      <c r="B102" s="558"/>
      <c r="C102" s="558"/>
      <c r="D102" s="558"/>
      <c r="E102" s="558"/>
      <c r="F102" s="558"/>
      <c r="G102" s="558"/>
      <c r="H102" s="558"/>
      <c r="I102" s="558"/>
      <c r="J102" s="558"/>
      <c r="K102" s="558"/>
      <c r="L102" s="558"/>
      <c r="M102" s="558"/>
      <c r="N102" s="558"/>
      <c r="O102" s="558"/>
      <c r="P102" s="558"/>
      <c r="Q102" s="558"/>
      <c r="R102" s="558"/>
      <c r="S102" s="558"/>
      <c r="T102" s="558"/>
      <c r="U102" s="558"/>
      <c r="V102" s="558"/>
      <c r="W102" s="558"/>
      <c r="X102" s="558"/>
      <c r="Y102" s="558"/>
      <c r="Z102" s="558"/>
      <c r="AA102" s="558"/>
      <c r="AB102" s="558"/>
      <c r="AC102" s="558"/>
      <c r="AD102" s="558"/>
      <c r="AE102" s="558"/>
      <c r="AF102" s="558"/>
      <c r="AG102" s="558"/>
      <c r="AH102" s="558"/>
      <c r="AI102" s="558"/>
    </row>
    <row r="103" spans="2:35">
      <c r="B103" s="558"/>
      <c r="C103" s="558"/>
      <c r="D103" s="558"/>
      <c r="E103" s="558"/>
      <c r="F103" s="558"/>
      <c r="G103" s="558"/>
      <c r="H103" s="558"/>
      <c r="I103" s="558"/>
      <c r="J103" s="558"/>
      <c r="K103" s="558"/>
      <c r="L103" s="558"/>
      <c r="M103" s="558"/>
      <c r="N103" s="558"/>
      <c r="O103" s="558"/>
      <c r="P103" s="558"/>
      <c r="Q103" s="558"/>
      <c r="R103" s="558"/>
      <c r="S103" s="558"/>
      <c r="T103" s="558"/>
      <c r="U103" s="558"/>
      <c r="V103" s="558"/>
      <c r="W103" s="558"/>
      <c r="X103" s="558"/>
      <c r="Y103" s="558"/>
      <c r="Z103" s="558"/>
      <c r="AA103" s="558"/>
      <c r="AB103" s="558"/>
      <c r="AC103" s="558"/>
      <c r="AD103" s="558"/>
      <c r="AE103" s="558"/>
      <c r="AF103" s="558"/>
      <c r="AG103" s="558"/>
      <c r="AH103" s="558"/>
      <c r="AI103" s="558"/>
    </row>
    <row r="104" spans="2:35">
      <c r="B104" s="558"/>
      <c r="C104" s="558"/>
      <c r="D104" s="558"/>
      <c r="E104" s="558"/>
      <c r="F104" s="558"/>
      <c r="G104" s="558"/>
      <c r="H104" s="558"/>
      <c r="I104" s="558"/>
      <c r="J104" s="558"/>
      <c r="K104" s="558"/>
      <c r="L104" s="558"/>
      <c r="M104" s="558"/>
      <c r="N104" s="558"/>
      <c r="O104" s="558"/>
      <c r="P104" s="558"/>
      <c r="Q104" s="558"/>
      <c r="R104" s="558"/>
      <c r="S104" s="558"/>
      <c r="T104" s="558"/>
      <c r="U104" s="558"/>
      <c r="V104" s="558"/>
      <c r="W104" s="558"/>
      <c r="X104" s="558"/>
      <c r="Y104" s="558"/>
      <c r="Z104" s="558"/>
      <c r="AA104" s="558"/>
      <c r="AB104" s="558"/>
      <c r="AC104" s="558"/>
      <c r="AD104" s="558"/>
      <c r="AE104" s="558"/>
      <c r="AF104" s="558"/>
      <c r="AG104" s="558"/>
      <c r="AH104" s="558"/>
      <c r="AI104" s="558"/>
    </row>
    <row r="105" spans="2:35">
      <c r="B105" s="558"/>
      <c r="C105" s="558"/>
      <c r="D105" s="558"/>
      <c r="E105" s="558"/>
      <c r="F105" s="558"/>
      <c r="G105" s="558"/>
      <c r="H105" s="558"/>
      <c r="I105" s="558"/>
      <c r="J105" s="558"/>
      <c r="K105" s="558"/>
      <c r="L105" s="558"/>
      <c r="M105" s="558"/>
      <c r="N105" s="558"/>
      <c r="O105" s="558"/>
      <c r="P105" s="558"/>
      <c r="Q105" s="558"/>
      <c r="R105" s="558"/>
      <c r="S105" s="558"/>
      <c r="T105" s="558"/>
      <c r="U105" s="558"/>
      <c r="V105" s="558"/>
      <c r="W105" s="558"/>
      <c r="X105" s="558"/>
      <c r="Y105" s="558"/>
      <c r="Z105" s="558"/>
      <c r="AA105" s="558"/>
      <c r="AB105" s="558"/>
      <c r="AC105" s="558"/>
      <c r="AD105" s="558"/>
      <c r="AE105" s="558"/>
      <c r="AF105" s="558"/>
      <c r="AG105" s="558"/>
      <c r="AH105" s="558"/>
      <c r="AI105" s="558"/>
    </row>
    <row r="106" spans="2:35">
      <c r="B106" s="558"/>
      <c r="C106" s="558"/>
      <c r="D106" s="558"/>
      <c r="E106" s="558"/>
      <c r="F106" s="558"/>
      <c r="G106" s="558"/>
      <c r="H106" s="558"/>
      <c r="I106" s="558"/>
      <c r="J106" s="558"/>
      <c r="K106" s="558"/>
      <c r="L106" s="558"/>
      <c r="M106" s="558"/>
      <c r="N106" s="558"/>
      <c r="O106" s="558"/>
      <c r="P106" s="558"/>
      <c r="Q106" s="558"/>
      <c r="R106" s="558"/>
      <c r="S106" s="558"/>
      <c r="T106" s="558"/>
      <c r="U106" s="558"/>
      <c r="V106" s="558"/>
      <c r="W106" s="558"/>
      <c r="X106" s="558"/>
      <c r="Y106" s="558"/>
      <c r="Z106" s="558"/>
      <c r="AA106" s="558"/>
      <c r="AB106" s="558"/>
      <c r="AC106" s="558"/>
      <c r="AD106" s="558"/>
      <c r="AE106" s="558"/>
      <c r="AF106" s="558"/>
      <c r="AG106" s="558"/>
      <c r="AH106" s="558"/>
      <c r="AI106" s="558"/>
    </row>
    <row r="107" spans="2:35">
      <c r="B107" s="558"/>
      <c r="C107" s="558"/>
      <c r="D107" s="558"/>
      <c r="E107" s="558"/>
      <c r="F107" s="558"/>
      <c r="G107" s="558"/>
      <c r="H107" s="558"/>
      <c r="I107" s="558"/>
      <c r="J107" s="558"/>
      <c r="K107" s="558"/>
      <c r="L107" s="558"/>
      <c r="M107" s="558"/>
      <c r="N107" s="558"/>
      <c r="O107" s="558"/>
      <c r="P107" s="558"/>
      <c r="Q107" s="558"/>
      <c r="R107" s="558"/>
      <c r="S107" s="558"/>
      <c r="T107" s="558"/>
      <c r="U107" s="558"/>
      <c r="V107" s="558"/>
      <c r="W107" s="558"/>
      <c r="X107" s="558"/>
      <c r="Y107" s="558"/>
      <c r="Z107" s="558"/>
      <c r="AA107" s="558"/>
      <c r="AB107" s="558"/>
      <c r="AC107" s="558"/>
      <c r="AD107" s="558"/>
      <c r="AE107" s="558"/>
      <c r="AF107" s="558"/>
      <c r="AG107" s="558"/>
      <c r="AH107" s="558"/>
      <c r="AI107" s="558"/>
    </row>
    <row r="108" spans="2:35">
      <c r="B108" s="558"/>
      <c r="C108" s="558"/>
      <c r="D108" s="558"/>
      <c r="E108" s="558"/>
      <c r="F108" s="558"/>
      <c r="G108" s="558"/>
      <c r="H108" s="558"/>
      <c r="I108" s="558"/>
      <c r="J108" s="558"/>
      <c r="K108" s="558"/>
      <c r="L108" s="558"/>
      <c r="M108" s="558"/>
      <c r="N108" s="558"/>
      <c r="O108" s="558"/>
      <c r="P108" s="558"/>
      <c r="Q108" s="558"/>
      <c r="R108" s="558"/>
      <c r="S108" s="558"/>
      <c r="T108" s="558"/>
      <c r="U108" s="558"/>
      <c r="V108" s="558"/>
      <c r="W108" s="558"/>
      <c r="X108" s="558"/>
      <c r="Y108" s="558"/>
      <c r="Z108" s="558"/>
      <c r="AA108" s="558"/>
      <c r="AB108" s="558"/>
      <c r="AC108" s="558"/>
      <c r="AD108" s="558"/>
      <c r="AE108" s="558"/>
      <c r="AF108" s="558"/>
      <c r="AG108" s="558"/>
      <c r="AH108" s="558"/>
      <c r="AI108" s="558"/>
    </row>
    <row r="109" spans="2:35">
      <c r="B109" s="558"/>
      <c r="C109" s="558"/>
      <c r="D109" s="558"/>
      <c r="E109" s="558"/>
      <c r="F109" s="558"/>
      <c r="G109" s="558"/>
      <c r="H109" s="558"/>
      <c r="I109" s="558"/>
      <c r="J109" s="558"/>
      <c r="K109" s="558"/>
      <c r="L109" s="558"/>
      <c r="M109" s="558"/>
      <c r="N109" s="558"/>
      <c r="O109" s="558"/>
      <c r="P109" s="558"/>
      <c r="Q109" s="558"/>
      <c r="R109" s="558"/>
      <c r="S109" s="558"/>
      <c r="T109" s="558"/>
      <c r="U109" s="558"/>
      <c r="V109" s="558"/>
      <c r="W109" s="558"/>
      <c r="X109" s="558"/>
      <c r="Y109" s="558"/>
      <c r="Z109" s="558"/>
      <c r="AA109" s="558"/>
      <c r="AB109" s="558"/>
      <c r="AC109" s="558"/>
      <c r="AD109" s="558"/>
      <c r="AE109" s="558"/>
      <c r="AF109" s="558"/>
      <c r="AG109" s="558"/>
      <c r="AH109" s="558"/>
      <c r="AI109" s="558"/>
    </row>
    <row r="110" spans="2:35">
      <c r="B110" s="558"/>
      <c r="C110" s="558"/>
      <c r="D110" s="558"/>
      <c r="E110" s="558"/>
      <c r="F110" s="558"/>
      <c r="G110" s="558"/>
      <c r="H110" s="558"/>
      <c r="I110" s="558"/>
      <c r="J110" s="558"/>
      <c r="K110" s="558"/>
      <c r="L110" s="558"/>
      <c r="M110" s="558"/>
      <c r="N110" s="558"/>
      <c r="O110" s="558"/>
      <c r="P110" s="558"/>
      <c r="Q110" s="558"/>
      <c r="R110" s="558"/>
      <c r="S110" s="558"/>
      <c r="T110" s="558"/>
      <c r="U110" s="558"/>
      <c r="V110" s="558"/>
      <c r="W110" s="558"/>
      <c r="X110" s="558"/>
      <c r="Y110" s="558"/>
      <c r="Z110" s="558"/>
      <c r="AA110" s="558"/>
      <c r="AB110" s="558"/>
      <c r="AC110" s="558"/>
      <c r="AD110" s="558"/>
      <c r="AE110" s="558"/>
      <c r="AF110" s="558"/>
      <c r="AG110" s="558"/>
      <c r="AH110" s="558"/>
      <c r="AI110" s="558"/>
    </row>
    <row r="111" spans="2:35">
      <c r="B111" s="558"/>
      <c r="C111" s="558"/>
      <c r="D111" s="558"/>
      <c r="E111" s="558"/>
      <c r="F111" s="558"/>
      <c r="G111" s="558"/>
      <c r="H111" s="558"/>
      <c r="I111" s="558"/>
      <c r="J111" s="558"/>
      <c r="K111" s="558"/>
      <c r="L111" s="558"/>
      <c r="M111" s="558"/>
      <c r="N111" s="558"/>
      <c r="O111" s="558"/>
      <c r="P111" s="558"/>
      <c r="Q111" s="558"/>
      <c r="R111" s="558"/>
      <c r="S111" s="558"/>
      <c r="T111" s="558"/>
      <c r="U111" s="558"/>
      <c r="V111" s="558"/>
      <c r="W111" s="558"/>
      <c r="X111" s="558"/>
      <c r="Y111" s="558"/>
      <c r="Z111" s="558"/>
      <c r="AA111" s="558"/>
      <c r="AB111" s="558"/>
      <c r="AC111" s="558"/>
      <c r="AD111" s="558"/>
      <c r="AE111" s="558"/>
      <c r="AF111" s="558"/>
      <c r="AG111" s="558"/>
      <c r="AH111" s="558"/>
      <c r="AI111" s="558"/>
    </row>
    <row r="112" spans="2:35">
      <c r="B112" s="558"/>
      <c r="C112" s="558"/>
      <c r="D112" s="558"/>
      <c r="E112" s="558"/>
      <c r="F112" s="558"/>
      <c r="G112" s="558"/>
      <c r="H112" s="558"/>
      <c r="I112" s="558"/>
      <c r="J112" s="558"/>
      <c r="K112" s="558"/>
      <c r="L112" s="558"/>
      <c r="M112" s="558"/>
      <c r="N112" s="558"/>
      <c r="O112" s="558"/>
      <c r="P112" s="558"/>
      <c r="Q112" s="558"/>
      <c r="R112" s="558"/>
      <c r="S112" s="558"/>
      <c r="T112" s="558"/>
      <c r="U112" s="558"/>
      <c r="V112" s="558"/>
      <c r="W112" s="558"/>
      <c r="X112" s="558"/>
      <c r="Y112" s="558"/>
      <c r="Z112" s="558"/>
      <c r="AA112" s="558"/>
      <c r="AB112" s="558"/>
      <c r="AC112" s="558"/>
      <c r="AD112" s="558"/>
      <c r="AE112" s="558"/>
      <c r="AF112" s="558"/>
      <c r="AG112" s="558"/>
      <c r="AH112" s="558"/>
      <c r="AI112" s="558"/>
    </row>
    <row r="113" spans="2:35">
      <c r="B113" s="558"/>
      <c r="C113" s="558"/>
      <c r="D113" s="558"/>
      <c r="E113" s="558"/>
      <c r="F113" s="558"/>
      <c r="G113" s="558"/>
      <c r="H113" s="558"/>
      <c r="I113" s="558"/>
      <c r="J113" s="558"/>
      <c r="K113" s="558"/>
      <c r="L113" s="558"/>
      <c r="M113" s="558"/>
      <c r="N113" s="558"/>
      <c r="O113" s="558"/>
      <c r="P113" s="558"/>
      <c r="Q113" s="558"/>
      <c r="R113" s="558"/>
      <c r="S113" s="558"/>
      <c r="T113" s="558"/>
      <c r="U113" s="558"/>
      <c r="V113" s="558"/>
      <c r="W113" s="558"/>
      <c r="X113" s="558"/>
      <c r="Y113" s="558"/>
      <c r="Z113" s="558"/>
      <c r="AA113" s="558"/>
      <c r="AB113" s="558"/>
      <c r="AC113" s="558"/>
      <c r="AD113" s="558"/>
      <c r="AE113" s="558"/>
      <c r="AF113" s="558"/>
      <c r="AG113" s="558"/>
      <c r="AH113" s="558"/>
      <c r="AI113" s="558"/>
    </row>
    <row r="114" spans="2:35">
      <c r="B114" s="558"/>
      <c r="C114" s="558"/>
      <c r="D114" s="558"/>
      <c r="E114" s="558"/>
      <c r="F114" s="558"/>
      <c r="G114" s="558"/>
      <c r="H114" s="558"/>
      <c r="I114" s="558"/>
      <c r="J114" s="558"/>
      <c r="K114" s="558"/>
      <c r="L114" s="558"/>
      <c r="M114" s="558"/>
      <c r="N114" s="558"/>
      <c r="O114" s="558"/>
      <c r="P114" s="558"/>
      <c r="Q114" s="558"/>
      <c r="R114" s="558"/>
      <c r="S114" s="558"/>
      <c r="T114" s="558"/>
      <c r="U114" s="558"/>
      <c r="V114" s="558"/>
      <c r="W114" s="558"/>
      <c r="X114" s="558"/>
      <c r="Y114" s="558"/>
      <c r="Z114" s="558"/>
      <c r="AA114" s="558"/>
      <c r="AB114" s="558"/>
      <c r="AC114" s="558"/>
      <c r="AD114" s="558"/>
      <c r="AE114" s="558"/>
      <c r="AF114" s="558"/>
      <c r="AG114" s="558"/>
      <c r="AH114" s="558"/>
      <c r="AI114" s="558"/>
    </row>
    <row r="115" spans="2:35">
      <c r="B115" s="558"/>
      <c r="C115" s="558"/>
      <c r="D115" s="558"/>
      <c r="E115" s="558"/>
      <c r="F115" s="558"/>
      <c r="G115" s="558"/>
      <c r="H115" s="558"/>
      <c r="I115" s="558"/>
      <c r="J115" s="558"/>
      <c r="K115" s="558"/>
      <c r="L115" s="558"/>
      <c r="M115" s="558"/>
      <c r="N115" s="558"/>
      <c r="O115" s="558"/>
      <c r="P115" s="558"/>
      <c r="Q115" s="558"/>
      <c r="R115" s="558"/>
      <c r="S115" s="558"/>
      <c r="T115" s="558"/>
      <c r="U115" s="558"/>
      <c r="V115" s="558"/>
      <c r="W115" s="558"/>
      <c r="X115" s="558"/>
      <c r="Y115" s="558"/>
      <c r="Z115" s="558"/>
      <c r="AA115" s="558"/>
      <c r="AB115" s="558"/>
      <c r="AC115" s="558"/>
      <c r="AD115" s="558"/>
      <c r="AE115" s="558"/>
      <c r="AF115" s="558"/>
      <c r="AG115" s="558"/>
      <c r="AH115" s="558"/>
      <c r="AI115" s="558"/>
    </row>
    <row r="116" spans="2:35">
      <c r="B116" s="558"/>
      <c r="C116" s="558"/>
      <c r="D116" s="558"/>
      <c r="E116" s="558"/>
      <c r="F116" s="558"/>
      <c r="G116" s="558"/>
      <c r="H116" s="558"/>
      <c r="I116" s="558"/>
      <c r="J116" s="558"/>
      <c r="K116" s="558"/>
      <c r="L116" s="558"/>
      <c r="M116" s="558"/>
      <c r="N116" s="558"/>
      <c r="O116" s="558"/>
      <c r="P116" s="558"/>
      <c r="Q116" s="558"/>
      <c r="R116" s="558"/>
      <c r="S116" s="558"/>
      <c r="T116" s="558"/>
      <c r="U116" s="558"/>
      <c r="V116" s="558"/>
      <c r="W116" s="558"/>
      <c r="X116" s="558"/>
      <c r="Y116" s="558"/>
      <c r="Z116" s="558"/>
      <c r="AA116" s="558"/>
      <c r="AB116" s="558"/>
      <c r="AC116" s="558"/>
      <c r="AD116" s="558"/>
      <c r="AE116" s="558"/>
      <c r="AF116" s="558"/>
      <c r="AG116" s="558"/>
      <c r="AH116" s="558"/>
      <c r="AI116" s="558"/>
    </row>
    <row r="117" spans="2:35">
      <c r="B117" s="558"/>
      <c r="C117" s="558"/>
      <c r="D117" s="558"/>
      <c r="E117" s="558"/>
      <c r="F117" s="558"/>
      <c r="G117" s="558"/>
      <c r="H117" s="558"/>
      <c r="I117" s="558"/>
      <c r="J117" s="558"/>
      <c r="K117" s="558"/>
      <c r="L117" s="558"/>
      <c r="M117" s="558"/>
      <c r="N117" s="558"/>
      <c r="O117" s="558"/>
      <c r="P117" s="558"/>
      <c r="Q117" s="558"/>
      <c r="R117" s="558"/>
      <c r="S117" s="558"/>
      <c r="T117" s="558"/>
      <c r="U117" s="558"/>
      <c r="V117" s="558"/>
      <c r="W117" s="558"/>
      <c r="X117" s="558"/>
      <c r="Y117" s="558"/>
      <c r="Z117" s="558"/>
      <c r="AA117" s="558"/>
      <c r="AB117" s="558"/>
      <c r="AC117" s="558"/>
      <c r="AD117" s="558"/>
      <c r="AE117" s="558"/>
      <c r="AF117" s="558"/>
      <c r="AG117" s="558"/>
      <c r="AH117" s="558"/>
      <c r="AI117" s="558"/>
    </row>
    <row r="118" spans="2:35">
      <c r="B118" s="558"/>
      <c r="C118" s="558"/>
      <c r="D118" s="558"/>
      <c r="E118" s="558"/>
      <c r="F118" s="558"/>
      <c r="G118" s="558"/>
      <c r="H118" s="558"/>
      <c r="I118" s="558"/>
      <c r="J118" s="558"/>
      <c r="K118" s="558"/>
      <c r="L118" s="558"/>
      <c r="M118" s="558"/>
      <c r="N118" s="558"/>
      <c r="O118" s="558"/>
      <c r="P118" s="558"/>
      <c r="Q118" s="558"/>
      <c r="R118" s="558"/>
      <c r="S118" s="558"/>
      <c r="T118" s="558"/>
      <c r="U118" s="558"/>
      <c r="V118" s="558"/>
      <c r="W118" s="558"/>
      <c r="X118" s="558"/>
      <c r="Y118" s="558"/>
      <c r="Z118" s="558"/>
      <c r="AA118" s="558"/>
      <c r="AB118" s="558"/>
      <c r="AC118" s="558"/>
      <c r="AD118" s="558"/>
      <c r="AE118" s="558"/>
      <c r="AF118" s="558"/>
      <c r="AG118" s="558"/>
      <c r="AH118" s="558"/>
      <c r="AI118" s="558"/>
    </row>
    <row r="119" spans="2:35">
      <c r="B119" s="558"/>
      <c r="C119" s="558"/>
      <c r="D119" s="558"/>
      <c r="E119" s="558"/>
      <c r="F119" s="558"/>
      <c r="G119" s="558"/>
      <c r="H119" s="558"/>
      <c r="I119" s="558"/>
      <c r="J119" s="558"/>
      <c r="K119" s="558"/>
      <c r="L119" s="558"/>
      <c r="M119" s="558"/>
      <c r="N119" s="558"/>
      <c r="O119" s="558"/>
      <c r="P119" s="558"/>
      <c r="Q119" s="558"/>
      <c r="R119" s="558"/>
      <c r="S119" s="558"/>
      <c r="T119" s="558"/>
      <c r="U119" s="558"/>
      <c r="V119" s="558"/>
      <c r="W119" s="558"/>
      <c r="X119" s="558"/>
      <c r="Y119" s="558"/>
      <c r="Z119" s="558"/>
      <c r="AA119" s="558"/>
      <c r="AB119" s="558"/>
      <c r="AC119" s="558"/>
      <c r="AD119" s="558"/>
      <c r="AE119" s="558"/>
      <c r="AF119" s="558"/>
      <c r="AG119" s="558"/>
      <c r="AH119" s="558"/>
      <c r="AI119" s="558"/>
    </row>
    <row r="120" spans="2:35">
      <c r="B120" s="558"/>
      <c r="C120" s="558"/>
      <c r="D120" s="558"/>
      <c r="E120" s="558"/>
      <c r="F120" s="558"/>
      <c r="G120" s="558"/>
      <c r="H120" s="558"/>
      <c r="I120" s="558"/>
      <c r="J120" s="558"/>
      <c r="K120" s="558"/>
      <c r="L120" s="558"/>
      <c r="M120" s="558"/>
      <c r="N120" s="558"/>
      <c r="O120" s="558"/>
      <c r="P120" s="558"/>
      <c r="Q120" s="558"/>
      <c r="R120" s="558"/>
      <c r="S120" s="558"/>
      <c r="T120" s="558"/>
      <c r="U120" s="558"/>
      <c r="V120" s="558"/>
      <c r="W120" s="558"/>
      <c r="X120" s="558"/>
      <c r="Y120" s="558"/>
      <c r="Z120" s="558"/>
      <c r="AA120" s="558"/>
      <c r="AB120" s="558"/>
      <c r="AC120" s="558"/>
      <c r="AD120" s="558"/>
      <c r="AE120" s="558"/>
      <c r="AF120" s="558"/>
      <c r="AG120" s="558"/>
      <c r="AH120" s="558"/>
      <c r="AI120" s="558"/>
    </row>
    <row r="121" spans="2:35">
      <c r="B121" s="558"/>
      <c r="C121" s="558"/>
      <c r="D121" s="558"/>
      <c r="E121" s="558"/>
      <c r="F121" s="558"/>
      <c r="G121" s="558"/>
      <c r="H121" s="558"/>
      <c r="I121" s="558"/>
      <c r="J121" s="558"/>
      <c r="K121" s="558"/>
      <c r="L121" s="558"/>
      <c r="M121" s="558"/>
      <c r="N121" s="558"/>
      <c r="O121" s="558"/>
      <c r="P121" s="558"/>
      <c r="Q121" s="558"/>
      <c r="R121" s="558"/>
      <c r="S121" s="558"/>
      <c r="T121" s="558"/>
      <c r="U121" s="558"/>
      <c r="V121" s="558"/>
      <c r="W121" s="558"/>
      <c r="X121" s="558"/>
      <c r="Y121" s="558"/>
      <c r="Z121" s="558"/>
      <c r="AA121" s="558"/>
      <c r="AB121" s="558"/>
      <c r="AC121" s="558"/>
      <c r="AD121" s="558"/>
      <c r="AE121" s="558"/>
      <c r="AF121" s="558"/>
      <c r="AG121" s="558"/>
      <c r="AH121" s="558"/>
      <c r="AI121" s="558"/>
    </row>
    <row r="122" spans="2:35">
      <c r="B122" s="558"/>
      <c r="C122" s="558"/>
      <c r="D122" s="558"/>
      <c r="E122" s="558"/>
      <c r="F122" s="558"/>
      <c r="G122" s="558"/>
      <c r="H122" s="558"/>
      <c r="I122" s="558"/>
      <c r="J122" s="558"/>
      <c r="K122" s="558"/>
      <c r="L122" s="558"/>
      <c r="M122" s="558"/>
      <c r="N122" s="558"/>
      <c r="O122" s="558"/>
      <c r="P122" s="558"/>
      <c r="Q122" s="558"/>
      <c r="R122" s="558"/>
      <c r="S122" s="558"/>
      <c r="T122" s="558"/>
      <c r="U122" s="558"/>
      <c r="V122" s="558"/>
      <c r="W122" s="558"/>
      <c r="X122" s="558"/>
      <c r="Y122" s="558"/>
      <c r="Z122" s="558"/>
      <c r="AA122" s="558"/>
      <c r="AB122" s="558"/>
      <c r="AC122" s="558"/>
      <c r="AD122" s="558"/>
      <c r="AE122" s="558"/>
      <c r="AF122" s="558"/>
      <c r="AG122" s="558"/>
      <c r="AH122" s="558"/>
      <c r="AI122" s="558"/>
    </row>
    <row r="123" spans="2:35">
      <c r="B123" s="558"/>
      <c r="C123" s="558"/>
      <c r="D123" s="558"/>
      <c r="E123" s="558"/>
      <c r="F123" s="558"/>
      <c r="G123" s="558"/>
      <c r="H123" s="558"/>
      <c r="I123" s="558"/>
      <c r="J123" s="558"/>
      <c r="K123" s="558"/>
      <c r="L123" s="558"/>
      <c r="M123" s="558"/>
      <c r="N123" s="558"/>
      <c r="O123" s="558"/>
      <c r="P123" s="558"/>
      <c r="Q123" s="558"/>
      <c r="R123" s="558"/>
      <c r="S123" s="558"/>
      <c r="T123" s="558"/>
      <c r="U123" s="558"/>
      <c r="V123" s="558"/>
      <c r="W123" s="558"/>
      <c r="X123" s="558"/>
      <c r="Y123" s="558"/>
      <c r="Z123" s="558"/>
      <c r="AA123" s="558"/>
      <c r="AB123" s="558"/>
      <c r="AC123" s="558"/>
      <c r="AD123" s="558"/>
      <c r="AE123" s="558"/>
      <c r="AF123" s="558"/>
      <c r="AG123" s="558"/>
      <c r="AH123" s="558"/>
      <c r="AI123" s="558"/>
    </row>
    <row r="124" spans="2:35">
      <c r="B124" s="558"/>
      <c r="C124" s="558"/>
      <c r="D124" s="558"/>
      <c r="E124" s="558"/>
      <c r="F124" s="558"/>
      <c r="G124" s="558"/>
      <c r="H124" s="558"/>
      <c r="I124" s="558"/>
      <c r="J124" s="558"/>
      <c r="K124" s="558"/>
      <c r="L124" s="558"/>
      <c r="M124" s="558"/>
      <c r="N124" s="558"/>
      <c r="O124" s="558"/>
      <c r="P124" s="558"/>
      <c r="Q124" s="558"/>
      <c r="R124" s="558"/>
      <c r="S124" s="558"/>
      <c r="T124" s="558"/>
      <c r="U124" s="558"/>
      <c r="V124" s="558"/>
      <c r="W124" s="558"/>
      <c r="X124" s="558"/>
      <c r="Y124" s="558"/>
      <c r="Z124" s="558"/>
      <c r="AA124" s="558"/>
      <c r="AB124" s="558"/>
      <c r="AC124" s="558"/>
      <c r="AD124" s="558"/>
      <c r="AE124" s="558"/>
      <c r="AF124" s="558"/>
      <c r="AG124" s="558"/>
      <c r="AH124" s="558"/>
      <c r="AI124" s="558"/>
    </row>
    <row r="125" spans="2:35">
      <c r="B125" s="558"/>
      <c r="C125" s="558"/>
      <c r="D125" s="558"/>
      <c r="E125" s="558"/>
      <c r="F125" s="558"/>
      <c r="G125" s="558"/>
      <c r="H125" s="558"/>
      <c r="I125" s="558"/>
      <c r="J125" s="558"/>
      <c r="K125" s="558"/>
      <c r="L125" s="558"/>
      <c r="M125" s="558"/>
      <c r="N125" s="558"/>
      <c r="O125" s="558"/>
      <c r="P125" s="558"/>
      <c r="Q125" s="558"/>
      <c r="R125" s="558"/>
      <c r="S125" s="558"/>
      <c r="T125" s="558"/>
      <c r="U125" s="558"/>
      <c r="V125" s="558"/>
      <c r="W125" s="558"/>
      <c r="X125" s="558"/>
      <c r="Y125" s="558"/>
      <c r="Z125" s="558"/>
      <c r="AA125" s="558"/>
      <c r="AB125" s="558"/>
      <c r="AC125" s="558"/>
      <c r="AD125" s="558"/>
      <c r="AE125" s="558"/>
      <c r="AF125" s="558"/>
      <c r="AG125" s="558"/>
      <c r="AH125" s="558"/>
      <c r="AI125" s="558"/>
    </row>
    <row r="126" spans="2:35">
      <c r="B126" s="558"/>
      <c r="C126" s="558"/>
      <c r="D126" s="558"/>
      <c r="E126" s="558"/>
      <c r="F126" s="558"/>
      <c r="G126" s="558"/>
      <c r="H126" s="558"/>
      <c r="I126" s="558"/>
      <c r="J126" s="558"/>
      <c r="K126" s="558"/>
      <c r="L126" s="558"/>
      <c r="M126" s="558"/>
      <c r="N126" s="558"/>
      <c r="O126" s="558"/>
      <c r="P126" s="558"/>
      <c r="Q126" s="558"/>
      <c r="R126" s="558"/>
      <c r="S126" s="558"/>
      <c r="T126" s="558"/>
      <c r="U126" s="558"/>
      <c r="V126" s="558"/>
      <c r="W126" s="558"/>
      <c r="X126" s="558"/>
      <c r="Y126" s="558"/>
      <c r="Z126" s="558"/>
      <c r="AA126" s="558"/>
      <c r="AB126" s="558"/>
      <c r="AC126" s="558"/>
      <c r="AD126" s="558"/>
      <c r="AE126" s="558"/>
      <c r="AF126" s="558"/>
      <c r="AG126" s="558"/>
      <c r="AH126" s="558"/>
      <c r="AI126" s="558"/>
    </row>
    <row r="127" spans="2:35">
      <c r="B127" s="558"/>
      <c r="C127" s="558"/>
      <c r="D127" s="558"/>
      <c r="E127" s="558"/>
      <c r="F127" s="558"/>
      <c r="G127" s="558"/>
      <c r="H127" s="558"/>
      <c r="I127" s="558"/>
      <c r="J127" s="558"/>
      <c r="K127" s="558"/>
      <c r="L127" s="558"/>
      <c r="M127" s="558"/>
      <c r="N127" s="558"/>
      <c r="O127" s="558"/>
      <c r="P127" s="558"/>
      <c r="Q127" s="558"/>
      <c r="R127" s="558"/>
      <c r="S127" s="558"/>
      <c r="T127" s="558"/>
      <c r="U127" s="558"/>
      <c r="V127" s="558"/>
      <c r="W127" s="558"/>
      <c r="X127" s="558"/>
      <c r="Y127" s="558"/>
      <c r="Z127" s="558"/>
      <c r="AA127" s="558"/>
      <c r="AB127" s="558"/>
      <c r="AC127" s="558"/>
      <c r="AD127" s="558"/>
      <c r="AE127" s="558"/>
      <c r="AF127" s="558"/>
      <c r="AG127" s="558"/>
      <c r="AH127" s="558"/>
      <c r="AI127" s="558"/>
    </row>
    <row r="128" spans="2:35">
      <c r="B128" s="558"/>
      <c r="C128" s="558"/>
      <c r="D128" s="558"/>
      <c r="E128" s="558"/>
      <c r="F128" s="558"/>
      <c r="G128" s="558"/>
      <c r="H128" s="558"/>
      <c r="I128" s="558"/>
      <c r="J128" s="558"/>
      <c r="K128" s="558"/>
      <c r="L128" s="558"/>
      <c r="M128" s="558"/>
      <c r="N128" s="558"/>
      <c r="O128" s="558"/>
      <c r="P128" s="558"/>
      <c r="Q128" s="558"/>
      <c r="R128" s="558"/>
      <c r="S128" s="558"/>
      <c r="T128" s="558"/>
      <c r="U128" s="558"/>
      <c r="V128" s="558"/>
      <c r="W128" s="558"/>
      <c r="X128" s="558"/>
      <c r="Y128" s="558"/>
      <c r="Z128" s="558"/>
      <c r="AA128" s="558"/>
      <c r="AB128" s="558"/>
      <c r="AC128" s="558"/>
      <c r="AD128" s="558"/>
      <c r="AE128" s="558"/>
      <c r="AF128" s="558"/>
      <c r="AG128" s="558"/>
      <c r="AH128" s="558"/>
      <c r="AI128" s="558"/>
    </row>
    <row r="129" spans="2:35">
      <c r="B129" s="558"/>
      <c r="C129" s="558"/>
      <c r="D129" s="558"/>
      <c r="E129" s="558"/>
      <c r="F129" s="558"/>
      <c r="G129" s="558"/>
      <c r="H129" s="558"/>
      <c r="I129" s="558"/>
      <c r="J129" s="558"/>
      <c r="K129" s="558"/>
      <c r="L129" s="558"/>
      <c r="M129" s="558"/>
      <c r="N129" s="558"/>
      <c r="O129" s="558"/>
      <c r="P129" s="558"/>
      <c r="Q129" s="558"/>
      <c r="R129" s="558"/>
      <c r="S129" s="558"/>
      <c r="T129" s="558"/>
      <c r="U129" s="558"/>
      <c r="V129" s="558"/>
      <c r="W129" s="558"/>
      <c r="X129" s="558"/>
      <c r="Y129" s="558"/>
      <c r="Z129" s="558"/>
      <c r="AA129" s="558"/>
      <c r="AB129" s="558"/>
      <c r="AC129" s="558"/>
      <c r="AD129" s="558"/>
      <c r="AE129" s="558"/>
      <c r="AF129" s="558"/>
      <c r="AG129" s="558"/>
      <c r="AH129" s="558"/>
      <c r="AI129" s="558"/>
    </row>
    <row r="130" spans="2:35">
      <c r="B130" s="558"/>
      <c r="C130" s="558"/>
      <c r="D130" s="558"/>
      <c r="E130" s="558"/>
      <c r="F130" s="558"/>
      <c r="G130" s="558"/>
      <c r="H130" s="558"/>
      <c r="I130" s="558"/>
      <c r="J130" s="558"/>
      <c r="K130" s="558"/>
      <c r="L130" s="558"/>
      <c r="M130" s="558"/>
      <c r="N130" s="558"/>
      <c r="O130" s="558"/>
      <c r="P130" s="558"/>
      <c r="Q130" s="558"/>
      <c r="R130" s="558"/>
      <c r="S130" s="558"/>
      <c r="T130" s="558"/>
      <c r="U130" s="558"/>
      <c r="V130" s="558"/>
      <c r="W130" s="558"/>
      <c r="X130" s="558"/>
      <c r="Y130" s="558"/>
      <c r="Z130" s="558"/>
      <c r="AA130" s="558"/>
      <c r="AB130" s="558"/>
      <c r="AC130" s="558"/>
      <c r="AD130" s="558"/>
      <c r="AE130" s="558"/>
      <c r="AF130" s="558"/>
      <c r="AG130" s="558"/>
      <c r="AH130" s="558"/>
      <c r="AI130" s="558"/>
    </row>
    <row r="131" spans="2:35">
      <c r="B131" s="558"/>
      <c r="C131" s="558"/>
      <c r="D131" s="558"/>
      <c r="E131" s="558"/>
      <c r="F131" s="558"/>
      <c r="G131" s="558"/>
      <c r="H131" s="558"/>
      <c r="I131" s="558"/>
      <c r="J131" s="558"/>
      <c r="K131" s="558"/>
      <c r="L131" s="558"/>
      <c r="M131" s="558"/>
      <c r="N131" s="558"/>
      <c r="O131" s="558"/>
      <c r="P131" s="558"/>
      <c r="Q131" s="558"/>
      <c r="R131" s="558"/>
      <c r="S131" s="558"/>
      <c r="T131" s="558"/>
      <c r="U131" s="558"/>
      <c r="V131" s="558"/>
      <c r="W131" s="558"/>
      <c r="X131" s="558"/>
      <c r="Y131" s="558"/>
      <c r="Z131" s="558"/>
      <c r="AA131" s="558"/>
      <c r="AB131" s="558"/>
      <c r="AC131" s="558"/>
      <c r="AD131" s="558"/>
      <c r="AE131" s="558"/>
      <c r="AF131" s="558"/>
      <c r="AG131" s="558"/>
      <c r="AH131" s="558"/>
      <c r="AI131" s="558"/>
    </row>
    <row r="132" spans="2:35">
      <c r="B132" s="558"/>
      <c r="C132" s="558"/>
      <c r="D132" s="558"/>
      <c r="E132" s="558"/>
      <c r="F132" s="558"/>
      <c r="G132" s="558"/>
      <c r="H132" s="558"/>
      <c r="I132" s="558"/>
      <c r="J132" s="558"/>
      <c r="K132" s="558"/>
      <c r="L132" s="558"/>
      <c r="M132" s="558"/>
      <c r="N132" s="558"/>
      <c r="O132" s="558"/>
      <c r="P132" s="558"/>
      <c r="Q132" s="558"/>
      <c r="R132" s="558"/>
      <c r="S132" s="558"/>
      <c r="T132" s="558"/>
      <c r="U132" s="558"/>
      <c r="V132" s="558"/>
      <c r="W132" s="558"/>
      <c r="X132" s="558"/>
      <c r="Y132" s="558"/>
      <c r="Z132" s="558"/>
      <c r="AA132" s="558"/>
      <c r="AB132" s="558"/>
      <c r="AC132" s="558"/>
      <c r="AD132" s="558"/>
      <c r="AE132" s="558"/>
      <c r="AF132" s="558"/>
      <c r="AG132" s="558"/>
      <c r="AH132" s="558"/>
      <c r="AI132" s="558"/>
    </row>
    <row r="133" spans="2:35">
      <c r="B133" s="558"/>
      <c r="C133" s="558"/>
      <c r="D133" s="558"/>
      <c r="E133" s="558"/>
      <c r="F133" s="558"/>
      <c r="G133" s="558"/>
      <c r="H133" s="558"/>
      <c r="I133" s="558"/>
      <c r="J133" s="558"/>
      <c r="K133" s="558"/>
      <c r="L133" s="558"/>
      <c r="M133" s="558"/>
      <c r="N133" s="558"/>
      <c r="O133" s="558"/>
      <c r="P133" s="558"/>
      <c r="Q133" s="558"/>
      <c r="R133" s="558"/>
      <c r="S133" s="558"/>
      <c r="T133" s="558"/>
      <c r="U133" s="558"/>
      <c r="V133" s="558"/>
      <c r="W133" s="558"/>
      <c r="X133" s="558"/>
      <c r="Y133" s="558"/>
      <c r="Z133" s="558"/>
      <c r="AA133" s="558"/>
      <c r="AB133" s="558"/>
      <c r="AC133" s="558"/>
      <c r="AD133" s="558"/>
      <c r="AE133" s="558"/>
      <c r="AF133" s="558"/>
      <c r="AG133" s="558"/>
      <c r="AH133" s="558"/>
      <c r="AI133" s="558"/>
    </row>
    <row r="134" spans="2:35">
      <c r="B134" s="558"/>
      <c r="C134" s="558"/>
      <c r="D134" s="558"/>
      <c r="E134" s="558"/>
      <c r="F134" s="558"/>
      <c r="G134" s="558"/>
      <c r="H134" s="558"/>
      <c r="I134" s="558"/>
      <c r="J134" s="558"/>
      <c r="K134" s="558"/>
      <c r="L134" s="558"/>
      <c r="M134" s="558"/>
      <c r="N134" s="558"/>
      <c r="O134" s="558"/>
      <c r="P134" s="558"/>
      <c r="Q134" s="558"/>
      <c r="R134" s="558"/>
      <c r="S134" s="558"/>
      <c r="T134" s="558"/>
      <c r="U134" s="558"/>
      <c r="V134" s="558"/>
      <c r="W134" s="558"/>
      <c r="X134" s="558"/>
      <c r="Y134" s="558"/>
      <c r="Z134" s="558"/>
      <c r="AA134" s="558"/>
      <c r="AB134" s="558"/>
      <c r="AC134" s="558"/>
      <c r="AD134" s="558"/>
      <c r="AE134" s="558"/>
      <c r="AF134" s="558"/>
      <c r="AG134" s="558"/>
      <c r="AH134" s="558"/>
      <c r="AI134" s="558"/>
    </row>
    <row r="135" spans="2:35">
      <c r="B135" s="558"/>
      <c r="C135" s="558"/>
      <c r="D135" s="558"/>
      <c r="E135" s="558"/>
      <c r="F135" s="558"/>
      <c r="G135" s="558"/>
      <c r="H135" s="558"/>
      <c r="I135" s="558"/>
      <c r="J135" s="558"/>
      <c r="K135" s="558"/>
      <c r="L135" s="558"/>
      <c r="M135" s="558"/>
      <c r="N135" s="558"/>
      <c r="O135" s="558"/>
      <c r="P135" s="558"/>
      <c r="Q135" s="558"/>
      <c r="R135" s="558"/>
      <c r="S135" s="558"/>
      <c r="T135" s="558"/>
      <c r="U135" s="558"/>
      <c r="V135" s="558"/>
      <c r="W135" s="558"/>
      <c r="X135" s="558"/>
      <c r="Y135" s="558"/>
      <c r="Z135" s="558"/>
      <c r="AA135" s="558"/>
      <c r="AB135" s="558"/>
      <c r="AC135" s="558"/>
      <c r="AD135" s="558"/>
      <c r="AE135" s="558"/>
      <c r="AF135" s="558"/>
      <c r="AG135" s="558"/>
      <c r="AH135" s="558"/>
      <c r="AI135" s="558"/>
    </row>
    <row r="136" spans="2:35">
      <c r="B136" s="558"/>
      <c r="C136" s="558"/>
      <c r="D136" s="558"/>
      <c r="E136" s="558"/>
      <c r="F136" s="558"/>
      <c r="G136" s="558"/>
      <c r="H136" s="558"/>
      <c r="I136" s="558"/>
      <c r="J136" s="558"/>
      <c r="K136" s="558"/>
      <c r="L136" s="558"/>
      <c r="M136" s="558"/>
      <c r="N136" s="558"/>
      <c r="O136" s="558"/>
      <c r="P136" s="558"/>
      <c r="Q136" s="558"/>
      <c r="R136" s="558"/>
      <c r="S136" s="558"/>
      <c r="T136" s="558"/>
      <c r="U136" s="558"/>
      <c r="V136" s="558"/>
      <c r="W136" s="558"/>
      <c r="X136" s="558"/>
      <c r="Y136" s="558"/>
      <c r="Z136" s="558"/>
      <c r="AA136" s="558"/>
      <c r="AB136" s="558"/>
      <c r="AC136" s="558"/>
      <c r="AD136" s="558"/>
      <c r="AE136" s="558"/>
      <c r="AF136" s="558"/>
      <c r="AG136" s="558"/>
      <c r="AH136" s="558"/>
      <c r="AI136" s="558"/>
    </row>
    <row r="137" spans="2:35">
      <c r="B137" s="558"/>
      <c r="C137" s="558"/>
      <c r="D137" s="558"/>
      <c r="E137" s="558"/>
      <c r="F137" s="558"/>
      <c r="G137" s="558"/>
      <c r="H137" s="558"/>
      <c r="I137" s="558"/>
      <c r="J137" s="558"/>
      <c r="K137" s="558"/>
      <c r="L137" s="558"/>
      <c r="M137" s="558"/>
      <c r="N137" s="558"/>
      <c r="O137" s="558"/>
      <c r="P137" s="558"/>
      <c r="Q137" s="558"/>
      <c r="R137" s="558"/>
      <c r="S137" s="558"/>
      <c r="T137" s="558"/>
      <c r="U137" s="558"/>
      <c r="V137" s="558"/>
      <c r="W137" s="558"/>
      <c r="X137" s="558"/>
      <c r="Y137" s="558"/>
      <c r="Z137" s="558"/>
      <c r="AA137" s="558"/>
      <c r="AB137" s="558"/>
      <c r="AC137" s="558"/>
      <c r="AD137" s="558"/>
      <c r="AE137" s="558"/>
      <c r="AF137" s="558"/>
      <c r="AG137" s="558"/>
      <c r="AH137" s="558"/>
      <c r="AI137" s="558"/>
    </row>
    <row r="138" spans="2:35">
      <c r="B138" s="558"/>
      <c r="C138" s="558"/>
      <c r="D138" s="558"/>
      <c r="E138" s="558"/>
      <c r="F138" s="558"/>
      <c r="G138" s="558"/>
      <c r="H138" s="558"/>
      <c r="I138" s="558"/>
      <c r="J138" s="558"/>
      <c r="K138" s="558"/>
      <c r="L138" s="558"/>
      <c r="M138" s="558"/>
      <c r="N138" s="558"/>
      <c r="O138" s="558"/>
      <c r="P138" s="558"/>
      <c r="Q138" s="558"/>
      <c r="R138" s="558"/>
      <c r="S138" s="558"/>
      <c r="T138" s="558"/>
      <c r="U138" s="558"/>
      <c r="V138" s="558"/>
      <c r="W138" s="558"/>
      <c r="X138" s="558"/>
      <c r="Y138" s="558"/>
      <c r="Z138" s="558"/>
      <c r="AA138" s="558"/>
      <c r="AB138" s="558"/>
      <c r="AC138" s="558"/>
      <c r="AD138" s="558"/>
      <c r="AE138" s="558"/>
      <c r="AF138" s="558"/>
      <c r="AG138" s="558"/>
      <c r="AH138" s="558"/>
      <c r="AI138" s="558"/>
    </row>
    <row r="139" spans="2:35">
      <c r="B139" s="558"/>
      <c r="C139" s="558"/>
      <c r="D139" s="558"/>
      <c r="E139" s="558"/>
      <c r="F139" s="558"/>
      <c r="G139" s="558"/>
      <c r="H139" s="558"/>
      <c r="I139" s="558"/>
      <c r="J139" s="558"/>
      <c r="K139" s="558"/>
      <c r="L139" s="558"/>
      <c r="M139" s="558"/>
      <c r="N139" s="558"/>
      <c r="O139" s="558"/>
      <c r="P139" s="558"/>
      <c r="Q139" s="558"/>
      <c r="R139" s="558"/>
      <c r="S139" s="558"/>
      <c r="T139" s="558"/>
      <c r="U139" s="558"/>
      <c r="V139" s="558"/>
      <c r="W139" s="558"/>
      <c r="X139" s="558"/>
      <c r="Y139" s="558"/>
      <c r="Z139" s="558"/>
      <c r="AA139" s="558"/>
      <c r="AB139" s="558"/>
      <c r="AC139" s="558"/>
      <c r="AD139" s="558"/>
      <c r="AE139" s="558"/>
      <c r="AF139" s="558"/>
      <c r="AG139" s="558"/>
      <c r="AH139" s="558"/>
      <c r="AI139" s="558"/>
    </row>
    <row r="140" spans="2:35">
      <c r="B140" s="558"/>
      <c r="C140" s="558"/>
      <c r="D140" s="558"/>
      <c r="E140" s="558"/>
      <c r="F140" s="558"/>
      <c r="G140" s="558"/>
      <c r="H140" s="558"/>
      <c r="I140" s="558"/>
      <c r="J140" s="558"/>
      <c r="K140" s="558"/>
      <c r="L140" s="558"/>
      <c r="M140" s="558"/>
      <c r="N140" s="558"/>
      <c r="O140" s="558"/>
      <c r="P140" s="558"/>
      <c r="Q140" s="558"/>
      <c r="R140" s="558"/>
      <c r="S140" s="558"/>
      <c r="T140" s="558"/>
      <c r="U140" s="558"/>
      <c r="V140" s="558"/>
      <c r="W140" s="558"/>
      <c r="X140" s="558"/>
      <c r="Y140" s="558"/>
      <c r="Z140" s="558"/>
      <c r="AA140" s="558"/>
      <c r="AB140" s="558"/>
      <c r="AC140" s="558"/>
      <c r="AD140" s="558"/>
      <c r="AE140" s="558"/>
      <c r="AF140" s="558"/>
      <c r="AG140" s="558"/>
      <c r="AH140" s="558"/>
      <c r="AI140" s="558"/>
    </row>
    <row r="141" spans="2:35">
      <c r="B141" s="558"/>
      <c r="C141" s="558"/>
      <c r="D141" s="558"/>
      <c r="E141" s="558"/>
      <c r="F141" s="558"/>
      <c r="G141" s="558"/>
      <c r="H141" s="558"/>
      <c r="I141" s="558"/>
      <c r="J141" s="558"/>
      <c r="K141" s="558"/>
      <c r="L141" s="558"/>
      <c r="M141" s="558"/>
      <c r="N141" s="558"/>
      <c r="O141" s="558"/>
      <c r="P141" s="558"/>
      <c r="Q141" s="558"/>
      <c r="R141" s="558"/>
      <c r="S141" s="558"/>
      <c r="T141" s="558"/>
      <c r="U141" s="558"/>
      <c r="V141" s="558"/>
      <c r="W141" s="558"/>
      <c r="X141" s="558"/>
      <c r="Y141" s="558"/>
      <c r="Z141" s="558"/>
      <c r="AA141" s="558"/>
      <c r="AB141" s="558"/>
      <c r="AC141" s="558"/>
      <c r="AD141" s="558"/>
      <c r="AE141" s="558"/>
      <c r="AF141" s="558"/>
      <c r="AG141" s="558"/>
      <c r="AH141" s="558"/>
      <c r="AI141" s="558"/>
    </row>
    <row r="142" spans="2:35">
      <c r="B142" s="558"/>
      <c r="C142" s="558"/>
      <c r="D142" s="558"/>
      <c r="E142" s="558"/>
      <c r="F142" s="558"/>
      <c r="G142" s="558"/>
      <c r="H142" s="558"/>
      <c r="I142" s="558"/>
      <c r="J142" s="558"/>
      <c r="K142" s="558"/>
      <c r="L142" s="558"/>
      <c r="M142" s="558"/>
      <c r="N142" s="558"/>
      <c r="O142" s="558"/>
      <c r="P142" s="558"/>
      <c r="Q142" s="558"/>
      <c r="R142" s="558"/>
      <c r="S142" s="558"/>
      <c r="T142" s="558"/>
      <c r="U142" s="558"/>
      <c r="V142" s="558"/>
      <c r="W142" s="558"/>
      <c r="X142" s="558"/>
      <c r="Y142" s="558"/>
      <c r="Z142" s="558"/>
      <c r="AA142" s="558"/>
      <c r="AB142" s="558"/>
      <c r="AC142" s="558"/>
      <c r="AD142" s="558"/>
      <c r="AE142" s="558"/>
      <c r="AF142" s="558"/>
      <c r="AG142" s="558"/>
      <c r="AH142" s="558"/>
      <c r="AI142" s="558"/>
    </row>
    <row r="143" spans="2:35">
      <c r="B143" s="558"/>
      <c r="C143" s="558"/>
      <c r="D143" s="558"/>
      <c r="E143" s="558"/>
      <c r="F143" s="558"/>
      <c r="G143" s="558"/>
      <c r="H143" s="558"/>
      <c r="I143" s="558"/>
      <c r="J143" s="558"/>
      <c r="K143" s="558"/>
      <c r="L143" s="558"/>
      <c r="M143" s="558"/>
      <c r="N143" s="558"/>
      <c r="O143" s="558"/>
      <c r="P143" s="558"/>
      <c r="Q143" s="558"/>
      <c r="R143" s="558"/>
      <c r="S143" s="558"/>
      <c r="T143" s="558"/>
      <c r="U143" s="558"/>
      <c r="V143" s="558"/>
      <c r="W143" s="558"/>
      <c r="X143" s="558"/>
      <c r="Y143" s="558"/>
      <c r="Z143" s="558"/>
      <c r="AA143" s="558"/>
      <c r="AB143" s="558"/>
      <c r="AC143" s="558"/>
      <c r="AD143" s="558"/>
      <c r="AE143" s="558"/>
      <c r="AF143" s="558"/>
      <c r="AG143" s="558"/>
      <c r="AH143" s="558"/>
      <c r="AI143" s="558"/>
    </row>
    <row r="144" spans="2:35">
      <c r="B144" s="558"/>
      <c r="C144" s="558"/>
      <c r="D144" s="558"/>
      <c r="E144" s="558"/>
      <c r="F144" s="558"/>
      <c r="G144" s="558"/>
      <c r="H144" s="558"/>
      <c r="I144" s="558"/>
      <c r="J144" s="558"/>
      <c r="K144" s="558"/>
      <c r="L144" s="558"/>
      <c r="M144" s="558"/>
      <c r="N144" s="558"/>
      <c r="O144" s="558"/>
      <c r="P144" s="558"/>
      <c r="Q144" s="558"/>
      <c r="R144" s="558"/>
      <c r="S144" s="558"/>
      <c r="T144" s="558"/>
      <c r="U144" s="558"/>
      <c r="V144" s="558"/>
      <c r="W144" s="558"/>
      <c r="X144" s="558"/>
      <c r="Y144" s="558"/>
      <c r="Z144" s="558"/>
      <c r="AA144" s="558"/>
      <c r="AB144" s="558"/>
      <c r="AC144" s="558"/>
      <c r="AD144" s="558"/>
      <c r="AE144" s="558"/>
      <c r="AF144" s="558"/>
      <c r="AG144" s="558"/>
      <c r="AH144" s="558"/>
      <c r="AI144" s="558"/>
    </row>
    <row r="145" spans="2:35">
      <c r="B145" s="558"/>
      <c r="C145" s="558"/>
      <c r="D145" s="558"/>
      <c r="E145" s="558"/>
      <c r="F145" s="558"/>
      <c r="G145" s="558"/>
      <c r="H145" s="558"/>
      <c r="I145" s="558"/>
      <c r="J145" s="558"/>
      <c r="K145" s="558"/>
      <c r="L145" s="558"/>
      <c r="M145" s="558"/>
      <c r="N145" s="558"/>
      <c r="O145" s="558"/>
      <c r="P145" s="558"/>
      <c r="Q145" s="558"/>
      <c r="R145" s="558"/>
      <c r="S145" s="558"/>
      <c r="T145" s="558"/>
      <c r="U145" s="558"/>
      <c r="V145" s="558"/>
      <c r="W145" s="558"/>
      <c r="X145" s="558"/>
      <c r="Y145" s="558"/>
      <c r="Z145" s="558"/>
      <c r="AA145" s="558"/>
      <c r="AB145" s="558"/>
      <c r="AC145" s="558"/>
      <c r="AD145" s="558"/>
      <c r="AE145" s="558"/>
      <c r="AF145" s="558"/>
      <c r="AG145" s="558"/>
      <c r="AH145" s="558"/>
      <c r="AI145" s="558"/>
    </row>
    <row r="146" spans="2:35">
      <c r="B146" s="558"/>
      <c r="C146" s="558"/>
      <c r="D146" s="558"/>
      <c r="E146" s="558"/>
      <c r="F146" s="558"/>
      <c r="G146" s="558"/>
      <c r="H146" s="558"/>
      <c r="I146" s="558"/>
      <c r="J146" s="558"/>
      <c r="K146" s="558"/>
      <c r="L146" s="558"/>
      <c r="M146" s="558"/>
      <c r="N146" s="558"/>
      <c r="O146" s="558"/>
      <c r="P146" s="558"/>
      <c r="Q146" s="558"/>
      <c r="R146" s="558"/>
      <c r="S146" s="558"/>
      <c r="T146" s="558"/>
      <c r="U146" s="558"/>
      <c r="V146" s="558"/>
      <c r="W146" s="558"/>
      <c r="X146" s="558"/>
      <c r="Y146" s="558"/>
      <c r="Z146" s="558"/>
      <c r="AA146" s="558"/>
      <c r="AB146" s="558"/>
      <c r="AC146" s="558"/>
      <c r="AD146" s="558"/>
      <c r="AE146" s="558"/>
      <c r="AF146" s="558"/>
      <c r="AG146" s="558"/>
      <c r="AH146" s="558"/>
      <c r="AI146" s="558"/>
    </row>
    <row r="147" spans="2:35">
      <c r="B147" s="558"/>
      <c r="C147" s="558"/>
      <c r="D147" s="558"/>
      <c r="E147" s="558"/>
      <c r="F147" s="558"/>
      <c r="G147" s="558"/>
      <c r="H147" s="558"/>
      <c r="I147" s="558"/>
      <c r="J147" s="558"/>
      <c r="K147" s="558"/>
      <c r="L147" s="558"/>
      <c r="M147" s="558"/>
      <c r="N147" s="558"/>
      <c r="O147" s="558"/>
      <c r="P147" s="558"/>
      <c r="Q147" s="558"/>
      <c r="R147" s="558"/>
      <c r="S147" s="558"/>
      <c r="T147" s="558"/>
      <c r="U147" s="558"/>
      <c r="V147" s="558"/>
      <c r="W147" s="558"/>
      <c r="X147" s="558"/>
      <c r="Y147" s="558"/>
      <c r="Z147" s="558"/>
      <c r="AA147" s="558"/>
      <c r="AB147" s="558"/>
      <c r="AC147" s="558"/>
      <c r="AD147" s="558"/>
      <c r="AE147" s="558"/>
      <c r="AF147" s="558"/>
      <c r="AG147" s="558"/>
      <c r="AH147" s="558"/>
      <c r="AI147" s="558"/>
    </row>
    <row r="148" spans="2:35">
      <c r="B148" s="558"/>
      <c r="C148" s="558"/>
      <c r="D148" s="558"/>
      <c r="E148" s="558"/>
      <c r="F148" s="558"/>
      <c r="G148" s="558"/>
      <c r="H148" s="558"/>
      <c r="I148" s="558"/>
      <c r="J148" s="558"/>
      <c r="K148" s="558"/>
      <c r="L148" s="558"/>
      <c r="M148" s="558"/>
      <c r="N148" s="558"/>
      <c r="O148" s="558"/>
      <c r="P148" s="558"/>
      <c r="Q148" s="558"/>
      <c r="R148" s="558"/>
      <c r="S148" s="558"/>
      <c r="T148" s="558"/>
      <c r="U148" s="558"/>
      <c r="V148" s="558"/>
      <c r="W148" s="558"/>
      <c r="X148" s="558"/>
      <c r="Y148" s="558"/>
      <c r="Z148" s="558"/>
      <c r="AA148" s="558"/>
      <c r="AB148" s="558"/>
      <c r="AC148" s="558"/>
      <c r="AD148" s="558"/>
      <c r="AE148" s="558"/>
      <c r="AF148" s="558"/>
      <c r="AG148" s="558"/>
      <c r="AH148" s="558"/>
      <c r="AI148" s="558"/>
    </row>
    <row r="149" spans="2:35">
      <c r="B149" s="558"/>
      <c r="C149" s="558"/>
      <c r="D149" s="558"/>
      <c r="E149" s="558"/>
      <c r="F149" s="558"/>
      <c r="G149" s="558"/>
      <c r="H149" s="558"/>
      <c r="I149" s="558"/>
      <c r="J149" s="558"/>
      <c r="K149" s="558"/>
      <c r="L149" s="558"/>
      <c r="M149" s="558"/>
      <c r="N149" s="558"/>
      <c r="O149" s="558"/>
      <c r="P149" s="558"/>
      <c r="Q149" s="558"/>
      <c r="R149" s="558"/>
      <c r="S149" s="558"/>
      <c r="T149" s="558"/>
      <c r="U149" s="558"/>
      <c r="V149" s="558"/>
      <c r="W149" s="558"/>
      <c r="X149" s="558"/>
      <c r="Y149" s="558"/>
      <c r="Z149" s="558"/>
      <c r="AA149" s="558"/>
      <c r="AB149" s="558"/>
      <c r="AC149" s="558"/>
      <c r="AD149" s="558"/>
      <c r="AE149" s="558"/>
      <c r="AF149" s="558"/>
      <c r="AG149" s="558"/>
      <c r="AH149" s="558"/>
      <c r="AI149" s="558"/>
    </row>
    <row r="150" spans="2:35">
      <c r="B150" s="558"/>
      <c r="C150" s="558"/>
      <c r="D150" s="558"/>
      <c r="E150" s="558"/>
      <c r="F150" s="558"/>
      <c r="G150" s="558"/>
      <c r="H150" s="558"/>
      <c r="I150" s="558"/>
      <c r="J150" s="558"/>
      <c r="K150" s="558"/>
      <c r="L150" s="558"/>
      <c r="M150" s="558"/>
      <c r="N150" s="558"/>
      <c r="O150" s="558"/>
      <c r="P150" s="558"/>
      <c r="Q150" s="558"/>
      <c r="R150" s="558"/>
      <c r="S150" s="558"/>
      <c r="T150" s="558"/>
      <c r="U150" s="558"/>
      <c r="V150" s="558"/>
      <c r="W150" s="558"/>
      <c r="X150" s="558"/>
      <c r="Y150" s="558"/>
      <c r="Z150" s="558"/>
      <c r="AA150" s="558"/>
      <c r="AB150" s="558"/>
      <c r="AC150" s="558"/>
      <c r="AD150" s="558"/>
      <c r="AE150" s="558"/>
      <c r="AF150" s="558"/>
      <c r="AG150" s="558"/>
      <c r="AH150" s="558"/>
      <c r="AI150" s="558"/>
    </row>
    <row r="151" spans="2:35">
      <c r="B151" s="558"/>
      <c r="C151" s="558"/>
      <c r="D151" s="558"/>
      <c r="E151" s="558"/>
      <c r="F151" s="558"/>
      <c r="G151" s="558"/>
      <c r="H151" s="558"/>
      <c r="I151" s="558"/>
      <c r="J151" s="558"/>
      <c r="K151" s="558"/>
      <c r="L151" s="558"/>
      <c r="M151" s="558"/>
      <c r="N151" s="558"/>
      <c r="O151" s="558"/>
      <c r="P151" s="558"/>
      <c r="Q151" s="558"/>
      <c r="R151" s="558"/>
      <c r="S151" s="558"/>
      <c r="T151" s="558"/>
      <c r="U151" s="558"/>
      <c r="V151" s="558"/>
      <c r="W151" s="558"/>
      <c r="X151" s="558"/>
      <c r="Y151" s="558"/>
      <c r="Z151" s="558"/>
      <c r="AA151" s="558"/>
      <c r="AB151" s="558"/>
      <c r="AC151" s="558"/>
      <c r="AD151" s="558"/>
      <c r="AE151" s="558"/>
      <c r="AF151" s="558"/>
      <c r="AG151" s="558"/>
      <c r="AH151" s="558"/>
      <c r="AI151" s="558"/>
    </row>
    <row r="152" spans="2:35">
      <c r="B152" s="558"/>
      <c r="C152" s="558"/>
      <c r="D152" s="558"/>
      <c r="E152" s="558"/>
      <c r="F152" s="558"/>
      <c r="G152" s="558"/>
      <c r="H152" s="558"/>
      <c r="I152" s="558"/>
      <c r="J152" s="558"/>
      <c r="K152" s="558"/>
      <c r="L152" s="558"/>
      <c r="M152" s="558"/>
      <c r="N152" s="558"/>
      <c r="O152" s="558"/>
      <c r="P152" s="558"/>
      <c r="Q152" s="558"/>
      <c r="R152" s="558"/>
      <c r="S152" s="558"/>
      <c r="T152" s="558"/>
      <c r="U152" s="558"/>
      <c r="V152" s="558"/>
      <c r="W152" s="558"/>
      <c r="X152" s="558"/>
      <c r="Y152" s="558"/>
      <c r="Z152" s="558"/>
      <c r="AA152" s="558"/>
      <c r="AB152" s="558"/>
      <c r="AC152" s="558"/>
      <c r="AD152" s="558"/>
      <c r="AE152" s="558"/>
      <c r="AF152" s="558"/>
      <c r="AG152" s="558"/>
      <c r="AH152" s="558"/>
      <c r="AI152" s="558"/>
    </row>
    <row r="153" spans="2:35">
      <c r="B153" s="558"/>
      <c r="C153" s="558"/>
      <c r="D153" s="558"/>
      <c r="E153" s="558"/>
      <c r="F153" s="558"/>
      <c r="G153" s="558"/>
      <c r="H153" s="558"/>
      <c r="I153" s="558"/>
      <c r="J153" s="558"/>
      <c r="K153" s="558"/>
      <c r="L153" s="558"/>
      <c r="M153" s="558"/>
      <c r="N153" s="558"/>
      <c r="O153" s="558"/>
      <c r="P153" s="558"/>
      <c r="Q153" s="558"/>
      <c r="R153" s="558"/>
      <c r="S153" s="558"/>
      <c r="T153" s="558"/>
      <c r="U153" s="558"/>
      <c r="V153" s="558"/>
      <c r="W153" s="558"/>
      <c r="X153" s="558"/>
      <c r="Y153" s="558"/>
      <c r="Z153" s="558"/>
      <c r="AA153" s="558"/>
      <c r="AB153" s="558"/>
      <c r="AC153" s="558"/>
      <c r="AD153" s="558"/>
      <c r="AE153" s="558"/>
      <c r="AF153" s="558"/>
      <c r="AG153" s="558"/>
      <c r="AH153" s="558"/>
      <c r="AI153" s="558"/>
    </row>
    <row r="154" spans="2:35">
      <c r="B154" s="558"/>
      <c r="C154" s="558"/>
      <c r="D154" s="558"/>
      <c r="E154" s="558"/>
      <c r="F154" s="558"/>
      <c r="G154" s="558"/>
      <c r="H154" s="558"/>
      <c r="I154" s="558"/>
      <c r="J154" s="558"/>
      <c r="K154" s="558"/>
      <c r="L154" s="558"/>
      <c r="M154" s="558"/>
      <c r="N154" s="558"/>
      <c r="O154" s="558"/>
      <c r="P154" s="558"/>
      <c r="Q154" s="558"/>
      <c r="R154" s="558"/>
      <c r="S154" s="558"/>
      <c r="T154" s="558"/>
      <c r="U154" s="558"/>
      <c r="V154" s="558"/>
      <c r="W154" s="558"/>
      <c r="X154" s="558"/>
      <c r="Y154" s="558"/>
      <c r="Z154" s="558"/>
      <c r="AA154" s="558"/>
      <c r="AB154" s="558"/>
      <c r="AC154" s="558"/>
      <c r="AD154" s="558"/>
      <c r="AE154" s="558"/>
      <c r="AF154" s="558"/>
      <c r="AG154" s="558"/>
      <c r="AH154" s="558"/>
      <c r="AI154" s="558"/>
    </row>
    <row r="155" spans="2:35">
      <c r="B155" s="558"/>
      <c r="C155" s="558"/>
      <c r="D155" s="558"/>
      <c r="E155" s="558"/>
      <c r="F155" s="558"/>
      <c r="G155" s="558"/>
      <c r="H155" s="558"/>
      <c r="I155" s="558"/>
      <c r="J155" s="558"/>
      <c r="K155" s="558"/>
      <c r="L155" s="558"/>
      <c r="M155" s="558"/>
      <c r="N155" s="558"/>
      <c r="O155" s="558"/>
      <c r="P155" s="558"/>
      <c r="Q155" s="558"/>
      <c r="R155" s="558"/>
      <c r="S155" s="558"/>
      <c r="T155" s="558"/>
      <c r="U155" s="558"/>
      <c r="V155" s="558"/>
      <c r="W155" s="558"/>
      <c r="X155" s="558"/>
      <c r="Y155" s="558"/>
      <c r="Z155" s="558"/>
      <c r="AA155" s="558"/>
      <c r="AB155" s="558"/>
      <c r="AC155" s="558"/>
      <c r="AD155" s="558"/>
      <c r="AE155" s="558"/>
      <c r="AF155" s="558"/>
      <c r="AG155" s="558"/>
      <c r="AH155" s="558"/>
      <c r="AI155" s="558"/>
    </row>
    <row r="156" spans="2:35">
      <c r="B156" s="558"/>
      <c r="C156" s="558"/>
      <c r="D156" s="558"/>
      <c r="E156" s="558"/>
      <c r="F156" s="558"/>
      <c r="G156" s="558"/>
      <c r="H156" s="558"/>
      <c r="I156" s="558"/>
      <c r="J156" s="558"/>
      <c r="K156" s="558"/>
      <c r="L156" s="558"/>
      <c r="M156" s="558"/>
      <c r="N156" s="558"/>
      <c r="O156" s="558"/>
      <c r="P156" s="558"/>
      <c r="Q156" s="558"/>
      <c r="R156" s="558"/>
      <c r="S156" s="558"/>
      <c r="T156" s="558"/>
      <c r="U156" s="558"/>
      <c r="V156" s="558"/>
      <c r="W156" s="558"/>
      <c r="X156" s="558"/>
      <c r="Y156" s="558"/>
      <c r="Z156" s="558"/>
      <c r="AA156" s="558"/>
      <c r="AB156" s="558"/>
      <c r="AC156" s="558"/>
      <c r="AD156" s="558"/>
      <c r="AE156" s="558"/>
      <c r="AF156" s="558"/>
      <c r="AG156" s="558"/>
      <c r="AH156" s="558"/>
      <c r="AI156" s="558"/>
    </row>
    <row r="157" spans="2:35">
      <c r="B157" s="558"/>
      <c r="C157" s="558"/>
      <c r="D157" s="558"/>
      <c r="E157" s="558"/>
      <c r="F157" s="558"/>
      <c r="G157" s="558"/>
      <c r="H157" s="558"/>
      <c r="I157" s="558"/>
      <c r="J157" s="558"/>
      <c r="K157" s="558"/>
      <c r="L157" s="558"/>
      <c r="M157" s="558"/>
      <c r="N157" s="558"/>
      <c r="O157" s="558"/>
      <c r="P157" s="558"/>
      <c r="Q157" s="558"/>
      <c r="R157" s="558"/>
      <c r="S157" s="558"/>
      <c r="T157" s="558"/>
      <c r="U157" s="558"/>
      <c r="V157" s="558"/>
      <c r="W157" s="558"/>
      <c r="X157" s="558"/>
      <c r="Y157" s="558"/>
      <c r="Z157" s="558"/>
      <c r="AA157" s="558"/>
      <c r="AB157" s="558"/>
      <c r="AC157" s="558"/>
      <c r="AD157" s="558"/>
      <c r="AE157" s="558"/>
      <c r="AF157" s="558"/>
      <c r="AG157" s="558"/>
      <c r="AH157" s="558"/>
      <c r="AI157" s="558"/>
    </row>
    <row r="158" spans="2:35">
      <c r="B158" s="558"/>
      <c r="C158" s="558"/>
      <c r="D158" s="558"/>
      <c r="E158" s="558"/>
      <c r="F158" s="558"/>
      <c r="G158" s="558"/>
      <c r="H158" s="558"/>
      <c r="I158" s="558"/>
      <c r="J158" s="558"/>
      <c r="K158" s="558"/>
      <c r="L158" s="558"/>
      <c r="M158" s="558"/>
      <c r="N158" s="558"/>
      <c r="O158" s="558"/>
      <c r="P158" s="558"/>
      <c r="Q158" s="558"/>
      <c r="R158" s="558"/>
      <c r="S158" s="558"/>
      <c r="T158" s="558"/>
      <c r="U158" s="558"/>
      <c r="V158" s="558"/>
      <c r="W158" s="558"/>
      <c r="X158" s="558"/>
      <c r="Y158" s="558"/>
      <c r="Z158" s="558"/>
      <c r="AA158" s="558"/>
      <c r="AB158" s="558"/>
      <c r="AC158" s="558"/>
      <c r="AD158" s="558"/>
      <c r="AE158" s="558"/>
      <c r="AF158" s="558"/>
      <c r="AG158" s="558"/>
      <c r="AH158" s="558"/>
      <c r="AI158" s="558"/>
    </row>
    <row r="159" spans="2:35">
      <c r="B159" s="558"/>
      <c r="C159" s="558"/>
      <c r="D159" s="558"/>
      <c r="E159" s="558"/>
      <c r="F159" s="558"/>
      <c r="G159" s="558"/>
      <c r="H159" s="558"/>
      <c r="I159" s="558"/>
      <c r="J159" s="558"/>
      <c r="K159" s="558"/>
      <c r="L159" s="558"/>
      <c r="M159" s="558"/>
      <c r="N159" s="558"/>
      <c r="O159" s="558"/>
      <c r="P159" s="558"/>
      <c r="Q159" s="558"/>
      <c r="R159" s="558"/>
      <c r="S159" s="558"/>
      <c r="T159" s="558"/>
      <c r="U159" s="558"/>
      <c r="V159" s="558"/>
      <c r="W159" s="558"/>
      <c r="X159" s="558"/>
      <c r="Y159" s="558"/>
      <c r="Z159" s="558"/>
      <c r="AA159" s="558"/>
      <c r="AB159" s="558"/>
      <c r="AC159" s="558"/>
      <c r="AD159" s="558"/>
      <c r="AE159" s="558"/>
      <c r="AF159" s="558"/>
      <c r="AG159" s="558"/>
      <c r="AH159" s="558"/>
      <c r="AI159" s="558"/>
    </row>
    <row r="160" spans="2:35">
      <c r="B160" s="558"/>
      <c r="C160" s="558"/>
      <c r="D160" s="558"/>
      <c r="E160" s="558"/>
      <c r="F160" s="558"/>
      <c r="G160" s="558"/>
      <c r="H160" s="558"/>
      <c r="I160" s="558"/>
      <c r="J160" s="558"/>
      <c r="K160" s="558"/>
      <c r="L160" s="558"/>
      <c r="M160" s="558"/>
      <c r="N160" s="558"/>
      <c r="O160" s="558"/>
      <c r="P160" s="558"/>
      <c r="Q160" s="558"/>
      <c r="R160" s="558"/>
      <c r="S160" s="558"/>
      <c r="T160" s="558"/>
      <c r="U160" s="558"/>
      <c r="V160" s="558"/>
      <c r="W160" s="558"/>
      <c r="X160" s="558"/>
      <c r="Y160" s="558"/>
      <c r="Z160" s="558"/>
      <c r="AA160" s="558"/>
      <c r="AB160" s="558"/>
      <c r="AC160" s="558"/>
      <c r="AD160" s="558"/>
      <c r="AE160" s="558"/>
      <c r="AF160" s="558"/>
      <c r="AG160" s="558"/>
      <c r="AH160" s="558"/>
      <c r="AI160" s="558"/>
    </row>
    <row r="161" spans="2:35">
      <c r="B161" s="558"/>
      <c r="C161" s="558"/>
      <c r="D161" s="558"/>
      <c r="E161" s="558"/>
      <c r="F161" s="558"/>
      <c r="G161" s="558"/>
      <c r="H161" s="558"/>
      <c r="I161" s="558"/>
      <c r="J161" s="558"/>
      <c r="K161" s="558"/>
      <c r="L161" s="558"/>
      <c r="M161" s="558"/>
      <c r="N161" s="558"/>
      <c r="O161" s="558"/>
      <c r="P161" s="558"/>
      <c r="Q161" s="558"/>
      <c r="R161" s="558"/>
      <c r="S161" s="558"/>
      <c r="T161" s="558"/>
      <c r="U161" s="558"/>
      <c r="V161" s="558"/>
      <c r="W161" s="558"/>
      <c r="X161" s="558"/>
      <c r="Y161" s="558"/>
      <c r="Z161" s="558"/>
      <c r="AA161" s="558"/>
      <c r="AB161" s="558"/>
      <c r="AC161" s="558"/>
      <c r="AD161" s="558"/>
      <c r="AE161" s="558"/>
      <c r="AF161" s="558"/>
      <c r="AG161" s="558"/>
      <c r="AH161" s="558"/>
      <c r="AI161" s="558"/>
    </row>
    <row r="162" spans="2:35">
      <c r="B162" s="558"/>
      <c r="C162" s="558"/>
      <c r="D162" s="558"/>
      <c r="E162" s="558"/>
      <c r="F162" s="558"/>
      <c r="G162" s="558"/>
      <c r="H162" s="558"/>
      <c r="I162" s="558"/>
      <c r="J162" s="558"/>
      <c r="K162" s="558"/>
      <c r="L162" s="558"/>
      <c r="M162" s="558"/>
      <c r="N162" s="558"/>
      <c r="O162" s="558"/>
      <c r="P162" s="558"/>
      <c r="Q162" s="558"/>
      <c r="R162" s="558"/>
      <c r="S162" s="558"/>
      <c r="T162" s="558"/>
      <c r="U162" s="558"/>
      <c r="V162" s="558"/>
      <c r="W162" s="558"/>
      <c r="X162" s="558"/>
      <c r="Y162" s="558"/>
      <c r="Z162" s="558"/>
      <c r="AA162" s="558"/>
      <c r="AB162" s="558"/>
      <c r="AC162" s="558"/>
      <c r="AD162" s="558"/>
      <c r="AE162" s="558"/>
      <c r="AF162" s="558"/>
      <c r="AG162" s="558"/>
      <c r="AH162" s="558"/>
      <c r="AI162" s="558"/>
    </row>
    <row r="163" spans="2:35">
      <c r="B163" s="558"/>
      <c r="C163" s="558"/>
      <c r="D163" s="558"/>
      <c r="E163" s="558"/>
      <c r="F163" s="558"/>
      <c r="G163" s="558"/>
      <c r="H163" s="558"/>
      <c r="I163" s="558"/>
      <c r="J163" s="558"/>
      <c r="K163" s="558"/>
      <c r="L163" s="558"/>
      <c r="M163" s="558"/>
      <c r="N163" s="558"/>
      <c r="O163" s="558"/>
      <c r="P163" s="558"/>
      <c r="Q163" s="558"/>
      <c r="R163" s="558"/>
      <c r="S163" s="558"/>
      <c r="T163" s="558"/>
      <c r="U163" s="558"/>
      <c r="V163" s="558"/>
      <c r="W163" s="558"/>
      <c r="X163" s="558"/>
      <c r="Y163" s="558"/>
      <c r="Z163" s="558"/>
      <c r="AA163" s="558"/>
      <c r="AB163" s="558"/>
      <c r="AC163" s="558"/>
      <c r="AD163" s="558"/>
      <c r="AE163" s="558"/>
      <c r="AF163" s="558"/>
      <c r="AG163" s="558"/>
      <c r="AH163" s="558"/>
      <c r="AI163" s="558"/>
    </row>
    <row r="164" spans="2:35">
      <c r="B164" s="558"/>
      <c r="C164" s="558"/>
      <c r="D164" s="558"/>
      <c r="E164" s="558"/>
      <c r="F164" s="558"/>
      <c r="G164" s="558"/>
      <c r="H164" s="558"/>
      <c r="I164" s="558"/>
      <c r="J164" s="558"/>
      <c r="K164" s="558"/>
      <c r="L164" s="558"/>
      <c r="M164" s="558"/>
      <c r="N164" s="558"/>
      <c r="O164" s="558"/>
      <c r="P164" s="558"/>
      <c r="Q164" s="558"/>
      <c r="R164" s="558"/>
      <c r="S164" s="558"/>
      <c r="T164" s="558"/>
      <c r="U164" s="558"/>
      <c r="V164" s="558"/>
      <c r="W164" s="558"/>
      <c r="X164" s="558"/>
      <c r="Y164" s="558"/>
      <c r="Z164" s="558"/>
      <c r="AA164" s="558"/>
      <c r="AB164" s="558"/>
      <c r="AC164" s="558"/>
      <c r="AD164" s="558"/>
      <c r="AE164" s="558"/>
      <c r="AF164" s="558"/>
      <c r="AG164" s="558"/>
      <c r="AH164" s="558"/>
      <c r="AI164" s="558"/>
    </row>
    <row r="165" spans="2:35">
      <c r="B165" s="558"/>
      <c r="C165" s="558"/>
      <c r="D165" s="558"/>
      <c r="E165" s="558"/>
      <c r="F165" s="558"/>
      <c r="G165" s="558"/>
      <c r="H165" s="558"/>
      <c r="I165" s="558"/>
      <c r="J165" s="558"/>
      <c r="K165" s="558"/>
      <c r="L165" s="558"/>
      <c r="M165" s="558"/>
      <c r="N165" s="558"/>
      <c r="O165" s="558"/>
      <c r="P165" s="558"/>
      <c r="Q165" s="558"/>
      <c r="R165" s="558"/>
      <c r="S165" s="558"/>
      <c r="T165" s="558"/>
      <c r="U165" s="558"/>
      <c r="V165" s="558"/>
      <c r="W165" s="558"/>
      <c r="X165" s="558"/>
      <c r="Y165" s="558"/>
      <c r="Z165" s="558"/>
      <c r="AA165" s="558"/>
      <c r="AB165" s="558"/>
      <c r="AC165" s="558"/>
      <c r="AD165" s="558"/>
      <c r="AE165" s="558"/>
      <c r="AF165" s="558"/>
      <c r="AG165" s="558"/>
      <c r="AH165" s="558"/>
      <c r="AI165" s="558"/>
    </row>
    <row r="166" spans="2:35">
      <c r="B166" s="558"/>
      <c r="C166" s="558"/>
      <c r="D166" s="558"/>
      <c r="E166" s="558"/>
      <c r="F166" s="558"/>
      <c r="G166" s="558"/>
      <c r="H166" s="558"/>
      <c r="I166" s="558"/>
      <c r="J166" s="558"/>
      <c r="K166" s="558"/>
      <c r="L166" s="558"/>
      <c r="M166" s="558"/>
      <c r="N166" s="558"/>
      <c r="O166" s="558"/>
      <c r="P166" s="558"/>
      <c r="Q166" s="558"/>
      <c r="R166" s="558"/>
      <c r="S166" s="558"/>
      <c r="T166" s="558"/>
      <c r="U166" s="558"/>
      <c r="V166" s="558"/>
      <c r="W166" s="558"/>
      <c r="X166" s="558"/>
      <c r="Y166" s="558"/>
      <c r="Z166" s="558"/>
      <c r="AA166" s="558"/>
      <c r="AB166" s="558"/>
      <c r="AC166" s="558"/>
      <c r="AD166" s="558"/>
      <c r="AE166" s="558"/>
      <c r="AF166" s="558"/>
      <c r="AG166" s="558"/>
      <c r="AH166" s="558"/>
      <c r="AI166" s="558"/>
    </row>
    <row r="167" spans="2:35">
      <c r="B167" s="558"/>
      <c r="C167" s="558"/>
      <c r="D167" s="558"/>
      <c r="E167" s="558"/>
      <c r="F167" s="558"/>
      <c r="G167" s="558"/>
      <c r="H167" s="558"/>
      <c r="I167" s="558"/>
      <c r="J167" s="558"/>
      <c r="K167" s="558"/>
      <c r="L167" s="558"/>
      <c r="M167" s="558"/>
      <c r="N167" s="558"/>
      <c r="O167" s="558"/>
      <c r="P167" s="558"/>
      <c r="Q167" s="558"/>
      <c r="R167" s="558"/>
      <c r="S167" s="558"/>
      <c r="T167" s="558"/>
      <c r="U167" s="558"/>
      <c r="V167" s="558"/>
      <c r="W167" s="558"/>
      <c r="X167" s="558"/>
      <c r="Y167" s="558"/>
      <c r="Z167" s="558"/>
      <c r="AA167" s="558"/>
      <c r="AB167" s="558"/>
      <c r="AC167" s="558"/>
      <c r="AD167" s="558"/>
      <c r="AE167" s="558"/>
      <c r="AF167" s="558"/>
      <c r="AG167" s="558"/>
      <c r="AH167" s="558"/>
      <c r="AI167" s="558"/>
    </row>
    <row r="168" spans="2:35">
      <c r="B168" s="558"/>
      <c r="C168" s="558"/>
      <c r="D168" s="558"/>
      <c r="E168" s="558"/>
      <c r="F168" s="558"/>
      <c r="G168" s="558"/>
      <c r="H168" s="558"/>
      <c r="I168" s="558"/>
      <c r="J168" s="558"/>
      <c r="K168" s="558"/>
      <c r="L168" s="558"/>
      <c r="M168" s="558"/>
      <c r="N168" s="558"/>
      <c r="O168" s="558"/>
      <c r="P168" s="558"/>
      <c r="Q168" s="558"/>
      <c r="R168" s="558"/>
      <c r="S168" s="558"/>
      <c r="T168" s="558"/>
      <c r="U168" s="558"/>
      <c r="V168" s="558"/>
      <c r="W168" s="558"/>
      <c r="X168" s="558"/>
      <c r="Y168" s="558"/>
      <c r="Z168" s="558"/>
      <c r="AA168" s="558"/>
      <c r="AB168" s="558"/>
      <c r="AC168" s="558"/>
      <c r="AD168" s="558"/>
      <c r="AE168" s="558"/>
      <c r="AF168" s="558"/>
      <c r="AG168" s="558"/>
      <c r="AH168" s="558"/>
      <c r="AI168" s="558"/>
    </row>
    <row r="169" spans="2:35">
      <c r="B169" s="558"/>
      <c r="C169" s="558"/>
      <c r="D169" s="558"/>
      <c r="E169" s="558"/>
      <c r="F169" s="558"/>
      <c r="G169" s="558"/>
      <c r="H169" s="558"/>
      <c r="I169" s="558"/>
      <c r="J169" s="558"/>
      <c r="K169" s="558"/>
      <c r="L169" s="558"/>
      <c r="M169" s="558"/>
      <c r="N169" s="558"/>
      <c r="O169" s="558"/>
      <c r="P169" s="558"/>
      <c r="Q169" s="558"/>
      <c r="R169" s="558"/>
      <c r="S169" s="558"/>
      <c r="T169" s="558"/>
      <c r="U169" s="558"/>
      <c r="V169" s="558"/>
      <c r="W169" s="558"/>
      <c r="X169" s="558"/>
      <c r="Y169" s="558"/>
      <c r="Z169" s="558"/>
      <c r="AA169" s="558"/>
      <c r="AB169" s="558"/>
      <c r="AC169" s="558"/>
      <c r="AD169" s="558"/>
      <c r="AE169" s="558"/>
      <c r="AF169" s="558"/>
      <c r="AG169" s="558"/>
      <c r="AH169" s="558"/>
      <c r="AI169" s="558"/>
    </row>
    <row r="170" spans="2:35">
      <c r="B170" s="558"/>
      <c r="C170" s="558"/>
      <c r="D170" s="558"/>
      <c r="E170" s="558"/>
      <c r="F170" s="558"/>
      <c r="G170" s="558"/>
      <c r="H170" s="558"/>
      <c r="I170" s="558"/>
      <c r="J170" s="558"/>
      <c r="K170" s="558"/>
      <c r="L170" s="558"/>
      <c r="M170" s="558"/>
      <c r="N170" s="558"/>
      <c r="O170" s="558"/>
      <c r="P170" s="558"/>
      <c r="Q170" s="558"/>
      <c r="R170" s="558"/>
      <c r="S170" s="558"/>
      <c r="T170" s="558"/>
      <c r="U170" s="558"/>
      <c r="V170" s="558"/>
      <c r="W170" s="558"/>
      <c r="X170" s="558"/>
      <c r="Y170" s="558"/>
      <c r="Z170" s="558"/>
      <c r="AA170" s="558"/>
      <c r="AB170" s="558"/>
      <c r="AC170" s="558"/>
      <c r="AD170" s="558"/>
      <c r="AE170" s="558"/>
      <c r="AF170" s="558"/>
      <c r="AG170" s="558"/>
      <c r="AH170" s="558"/>
      <c r="AI170" s="558"/>
    </row>
    <row r="171" spans="2:35">
      <c r="B171" s="558"/>
      <c r="C171" s="558"/>
      <c r="D171" s="558"/>
      <c r="E171" s="558"/>
      <c r="F171" s="558"/>
      <c r="G171" s="558"/>
      <c r="H171" s="558"/>
      <c r="I171" s="558"/>
      <c r="J171" s="558"/>
      <c r="K171" s="558"/>
      <c r="L171" s="558"/>
      <c r="M171" s="558"/>
      <c r="N171" s="558"/>
      <c r="O171" s="558"/>
      <c r="P171" s="558"/>
      <c r="Q171" s="558"/>
      <c r="R171" s="558"/>
      <c r="S171" s="558"/>
      <c r="T171" s="558"/>
      <c r="U171" s="558"/>
      <c r="V171" s="558"/>
      <c r="W171" s="558"/>
      <c r="X171" s="558"/>
      <c r="Y171" s="558"/>
      <c r="Z171" s="558"/>
      <c r="AA171" s="558"/>
      <c r="AB171" s="558"/>
      <c r="AC171" s="558"/>
      <c r="AD171" s="558"/>
      <c r="AE171" s="558"/>
      <c r="AF171" s="558"/>
      <c r="AG171" s="558"/>
      <c r="AH171" s="558"/>
      <c r="AI171" s="558"/>
    </row>
    <row r="172" spans="2:35">
      <c r="B172" s="558"/>
      <c r="C172" s="558"/>
      <c r="D172" s="558"/>
      <c r="E172" s="558"/>
      <c r="F172" s="558"/>
      <c r="G172" s="558"/>
      <c r="H172" s="558"/>
      <c r="I172" s="558"/>
      <c r="J172" s="558"/>
      <c r="K172" s="558"/>
      <c r="L172" s="558"/>
      <c r="M172" s="558"/>
      <c r="N172" s="558"/>
      <c r="O172" s="558"/>
      <c r="P172" s="558"/>
      <c r="Q172" s="558"/>
      <c r="R172" s="558"/>
      <c r="S172" s="558"/>
      <c r="T172" s="558"/>
      <c r="U172" s="558"/>
      <c r="V172" s="558"/>
      <c r="W172" s="558"/>
      <c r="X172" s="558"/>
      <c r="Y172" s="558"/>
      <c r="Z172" s="558"/>
      <c r="AA172" s="558"/>
      <c r="AB172" s="558"/>
      <c r="AC172" s="558"/>
      <c r="AD172" s="558"/>
      <c r="AE172" s="558"/>
      <c r="AF172" s="558"/>
      <c r="AG172" s="558"/>
      <c r="AH172" s="558"/>
      <c r="AI172" s="558"/>
    </row>
    <row r="173" spans="2:35">
      <c r="B173" s="558"/>
      <c r="C173" s="558"/>
      <c r="D173" s="558"/>
      <c r="E173" s="558"/>
      <c r="F173" s="558"/>
      <c r="G173" s="558"/>
      <c r="H173" s="558"/>
      <c r="I173" s="558"/>
      <c r="J173" s="558"/>
      <c r="K173" s="558"/>
      <c r="L173" s="558"/>
      <c r="M173" s="558"/>
      <c r="N173" s="558"/>
      <c r="O173" s="558"/>
      <c r="P173" s="558"/>
      <c r="Q173" s="558"/>
      <c r="R173" s="558"/>
      <c r="S173" s="558"/>
      <c r="T173" s="558"/>
      <c r="U173" s="558"/>
      <c r="V173" s="558"/>
      <c r="W173" s="558"/>
      <c r="X173" s="558"/>
      <c r="Y173" s="558"/>
      <c r="Z173" s="558"/>
      <c r="AA173" s="558"/>
      <c r="AB173" s="558"/>
      <c r="AC173" s="558"/>
      <c r="AD173" s="558"/>
      <c r="AE173" s="558"/>
      <c r="AF173" s="558"/>
      <c r="AG173" s="558"/>
      <c r="AH173" s="558"/>
      <c r="AI173" s="558"/>
    </row>
    <row r="174" spans="2:35">
      <c r="B174" s="558"/>
      <c r="C174" s="558"/>
      <c r="D174" s="558"/>
      <c r="E174" s="558"/>
      <c r="F174" s="558"/>
      <c r="G174" s="558"/>
      <c r="H174" s="558"/>
      <c r="I174" s="558"/>
      <c r="J174" s="558"/>
      <c r="K174" s="558"/>
      <c r="L174" s="558"/>
      <c r="M174" s="558"/>
      <c r="N174" s="558"/>
      <c r="O174" s="558"/>
      <c r="P174" s="558"/>
      <c r="Q174" s="558"/>
      <c r="R174" s="558"/>
      <c r="S174" s="558"/>
      <c r="T174" s="558"/>
      <c r="U174" s="558"/>
      <c r="V174" s="558"/>
      <c r="W174" s="558"/>
      <c r="X174" s="558"/>
      <c r="Y174" s="558"/>
      <c r="Z174" s="558"/>
      <c r="AA174" s="558"/>
      <c r="AB174" s="558"/>
      <c r="AC174" s="558"/>
      <c r="AD174" s="558"/>
      <c r="AE174" s="558"/>
      <c r="AF174" s="558"/>
      <c r="AG174" s="558"/>
      <c r="AH174" s="558"/>
      <c r="AI174" s="558"/>
    </row>
    <row r="175" spans="2:35">
      <c r="B175" s="558"/>
      <c r="C175" s="558"/>
      <c r="D175" s="558"/>
      <c r="E175" s="558"/>
      <c r="F175" s="558"/>
      <c r="G175" s="558"/>
      <c r="H175" s="558"/>
      <c r="I175" s="558"/>
      <c r="J175" s="558"/>
      <c r="K175" s="558"/>
      <c r="L175" s="558"/>
      <c r="M175" s="558"/>
      <c r="N175" s="558"/>
      <c r="O175" s="558"/>
      <c r="P175" s="558"/>
      <c r="Q175" s="558"/>
      <c r="R175" s="558"/>
      <c r="S175" s="558"/>
      <c r="T175" s="558"/>
      <c r="U175" s="558"/>
      <c r="V175" s="558"/>
      <c r="W175" s="558"/>
      <c r="X175" s="558"/>
      <c r="Y175" s="558"/>
      <c r="Z175" s="558"/>
      <c r="AA175" s="558"/>
      <c r="AB175" s="558"/>
      <c r="AC175" s="558"/>
      <c r="AD175" s="558"/>
      <c r="AE175" s="558"/>
      <c r="AF175" s="558"/>
      <c r="AG175" s="558"/>
      <c r="AH175" s="558"/>
      <c r="AI175" s="558"/>
    </row>
    <row r="176" spans="2:35">
      <c r="B176" s="558"/>
      <c r="C176" s="558"/>
      <c r="D176" s="558"/>
      <c r="E176" s="558"/>
      <c r="F176" s="558"/>
      <c r="G176" s="558"/>
      <c r="H176" s="558"/>
      <c r="I176" s="558"/>
      <c r="J176" s="558"/>
      <c r="K176" s="558"/>
      <c r="L176" s="558"/>
      <c r="M176" s="558"/>
      <c r="N176" s="558"/>
      <c r="O176" s="558"/>
      <c r="P176" s="558"/>
      <c r="Q176" s="558"/>
      <c r="R176" s="558"/>
      <c r="S176" s="558"/>
      <c r="T176" s="558"/>
      <c r="U176" s="558"/>
      <c r="V176" s="558"/>
      <c r="W176" s="558"/>
      <c r="X176" s="558"/>
      <c r="Y176" s="558"/>
      <c r="Z176" s="558"/>
      <c r="AA176" s="558"/>
      <c r="AB176" s="558"/>
      <c r="AC176" s="558"/>
      <c r="AD176" s="558"/>
      <c r="AE176" s="558"/>
      <c r="AF176" s="558"/>
      <c r="AG176" s="558"/>
      <c r="AH176" s="558"/>
      <c r="AI176" s="558"/>
    </row>
    <row r="177" spans="2:35">
      <c r="B177" s="558"/>
      <c r="C177" s="558"/>
      <c r="D177" s="558"/>
      <c r="E177" s="558"/>
      <c r="F177" s="558"/>
      <c r="G177" s="558"/>
      <c r="H177" s="558"/>
      <c r="I177" s="558"/>
      <c r="J177" s="558"/>
      <c r="K177" s="558"/>
      <c r="L177" s="558"/>
      <c r="M177" s="558"/>
      <c r="N177" s="558"/>
      <c r="O177" s="558"/>
      <c r="P177" s="558"/>
      <c r="Q177" s="558"/>
      <c r="R177" s="558"/>
      <c r="S177" s="558"/>
      <c r="T177" s="558"/>
      <c r="U177" s="558"/>
      <c r="V177" s="558"/>
      <c r="W177" s="558"/>
      <c r="X177" s="558"/>
      <c r="Y177" s="558"/>
      <c r="Z177" s="558"/>
      <c r="AA177" s="558"/>
      <c r="AB177" s="558"/>
      <c r="AC177" s="558"/>
      <c r="AD177" s="558"/>
      <c r="AE177" s="558"/>
      <c r="AF177" s="558"/>
      <c r="AG177" s="558"/>
      <c r="AH177" s="558"/>
      <c r="AI177" s="558"/>
    </row>
    <row r="178" spans="2:35">
      <c r="B178" s="558"/>
      <c r="C178" s="558"/>
      <c r="D178" s="558"/>
      <c r="E178" s="558"/>
      <c r="F178" s="558"/>
      <c r="G178" s="558"/>
      <c r="H178" s="558"/>
      <c r="I178" s="558"/>
      <c r="J178" s="558"/>
      <c r="K178" s="558"/>
      <c r="L178" s="558"/>
      <c r="M178" s="558"/>
      <c r="N178" s="558"/>
      <c r="O178" s="558"/>
      <c r="P178" s="558"/>
      <c r="Q178" s="558"/>
      <c r="R178" s="558"/>
      <c r="S178" s="558"/>
      <c r="T178" s="558"/>
      <c r="U178" s="558"/>
      <c r="V178" s="558"/>
      <c r="W178" s="558"/>
      <c r="X178" s="558"/>
      <c r="Y178" s="558"/>
      <c r="Z178" s="558"/>
      <c r="AA178" s="558"/>
      <c r="AB178" s="558"/>
      <c r="AC178" s="558"/>
      <c r="AD178" s="558"/>
      <c r="AE178" s="558"/>
      <c r="AF178" s="558"/>
      <c r="AG178" s="558"/>
      <c r="AH178" s="558"/>
      <c r="AI178" s="558"/>
    </row>
    <row r="179" spans="2:35">
      <c r="B179" s="558"/>
      <c r="C179" s="558"/>
      <c r="D179" s="558"/>
      <c r="E179" s="558"/>
      <c r="F179" s="558"/>
      <c r="G179" s="558"/>
      <c r="H179" s="558"/>
      <c r="I179" s="558"/>
      <c r="J179" s="558"/>
      <c r="K179" s="558"/>
      <c r="L179" s="558"/>
      <c r="M179" s="558"/>
      <c r="N179" s="558"/>
      <c r="O179" s="558"/>
      <c r="P179" s="558"/>
      <c r="Q179" s="558"/>
      <c r="R179" s="558"/>
      <c r="S179" s="558"/>
      <c r="T179" s="558"/>
      <c r="U179" s="558"/>
      <c r="V179" s="558"/>
      <c r="W179" s="558"/>
      <c r="X179" s="558"/>
      <c r="Y179" s="558"/>
      <c r="Z179" s="558"/>
      <c r="AA179" s="558"/>
      <c r="AB179" s="558"/>
      <c r="AC179" s="558"/>
      <c r="AD179" s="558"/>
      <c r="AE179" s="558"/>
      <c r="AF179" s="558"/>
      <c r="AG179" s="558"/>
      <c r="AH179" s="558"/>
      <c r="AI179" s="558"/>
    </row>
    <row r="180" spans="2:35">
      <c r="B180" s="558"/>
      <c r="C180" s="558"/>
      <c r="D180" s="558"/>
      <c r="E180" s="558"/>
      <c r="F180" s="558"/>
      <c r="G180" s="558"/>
      <c r="H180" s="558"/>
      <c r="I180" s="558"/>
      <c r="J180" s="558"/>
      <c r="K180" s="558"/>
      <c r="L180" s="558"/>
      <c r="M180" s="558"/>
      <c r="N180" s="558"/>
      <c r="O180" s="558"/>
      <c r="P180" s="558"/>
      <c r="Q180" s="558"/>
      <c r="R180" s="558"/>
      <c r="S180" s="558"/>
      <c r="T180" s="558"/>
      <c r="U180" s="558"/>
      <c r="V180" s="558"/>
      <c r="W180" s="558"/>
      <c r="X180" s="558"/>
      <c r="Y180" s="558"/>
      <c r="Z180" s="558"/>
      <c r="AA180" s="558"/>
      <c r="AB180" s="558"/>
      <c r="AC180" s="558"/>
      <c r="AD180" s="558"/>
      <c r="AE180" s="558"/>
      <c r="AF180" s="558"/>
      <c r="AG180" s="558"/>
      <c r="AH180" s="558"/>
      <c r="AI180" s="558"/>
    </row>
    <row r="181" spans="2:35">
      <c r="B181" s="558"/>
      <c r="C181" s="558"/>
      <c r="D181" s="558"/>
      <c r="E181" s="558"/>
      <c r="F181" s="558"/>
      <c r="G181" s="558"/>
      <c r="H181" s="558"/>
      <c r="I181" s="558"/>
      <c r="J181" s="558"/>
      <c r="K181" s="558"/>
      <c r="L181" s="558"/>
      <c r="M181" s="558"/>
      <c r="N181" s="558"/>
      <c r="O181" s="558"/>
      <c r="P181" s="558"/>
      <c r="Q181" s="558"/>
      <c r="R181" s="558"/>
      <c r="S181" s="558"/>
      <c r="T181" s="558"/>
      <c r="U181" s="558"/>
      <c r="V181" s="558"/>
      <c r="W181" s="558"/>
      <c r="X181" s="558"/>
      <c r="Y181" s="558"/>
      <c r="Z181" s="558"/>
      <c r="AA181" s="558"/>
      <c r="AB181" s="558"/>
      <c r="AC181" s="558"/>
      <c r="AD181" s="558"/>
      <c r="AE181" s="558"/>
      <c r="AF181" s="558"/>
      <c r="AG181" s="558"/>
      <c r="AH181" s="558"/>
      <c r="AI181" s="558"/>
    </row>
    <row r="182" spans="2:35">
      <c r="B182" s="558"/>
      <c r="C182" s="558"/>
      <c r="D182" s="558"/>
      <c r="E182" s="558"/>
      <c r="F182" s="558"/>
      <c r="G182" s="558"/>
      <c r="H182" s="558"/>
      <c r="I182" s="558"/>
      <c r="J182" s="558"/>
      <c r="K182" s="558"/>
      <c r="L182" s="558"/>
      <c r="M182" s="558"/>
      <c r="N182" s="558"/>
      <c r="O182" s="558"/>
      <c r="P182" s="558"/>
      <c r="Q182" s="558"/>
      <c r="R182" s="558"/>
      <c r="S182" s="558"/>
      <c r="T182" s="558"/>
      <c r="U182" s="558"/>
      <c r="V182" s="558"/>
      <c r="W182" s="558"/>
      <c r="X182" s="558"/>
      <c r="Y182" s="558"/>
      <c r="Z182" s="558"/>
      <c r="AA182" s="558"/>
      <c r="AB182" s="558"/>
      <c r="AC182" s="558"/>
      <c r="AD182" s="558"/>
      <c r="AE182" s="558"/>
      <c r="AF182" s="558"/>
      <c r="AG182" s="558"/>
      <c r="AH182" s="558"/>
      <c r="AI182" s="558"/>
    </row>
    <row r="183" spans="2:35">
      <c r="B183" s="558"/>
      <c r="C183" s="558"/>
      <c r="D183" s="558"/>
      <c r="E183" s="558"/>
      <c r="F183" s="558"/>
      <c r="G183" s="558"/>
      <c r="H183" s="558"/>
      <c r="I183" s="558"/>
      <c r="J183" s="558"/>
      <c r="K183" s="558"/>
      <c r="L183" s="558"/>
      <c r="M183" s="558"/>
      <c r="N183" s="558"/>
      <c r="O183" s="558"/>
      <c r="P183" s="558"/>
      <c r="Q183" s="558"/>
      <c r="R183" s="558"/>
      <c r="S183" s="558"/>
      <c r="T183" s="558"/>
      <c r="U183" s="558"/>
      <c r="V183" s="558"/>
      <c r="W183" s="558"/>
      <c r="X183" s="558"/>
      <c r="Y183" s="558"/>
      <c r="Z183" s="558"/>
      <c r="AA183" s="558"/>
      <c r="AB183" s="558"/>
      <c r="AC183" s="558"/>
      <c r="AD183" s="558"/>
      <c r="AE183" s="558"/>
      <c r="AF183" s="558"/>
      <c r="AG183" s="558"/>
      <c r="AH183" s="558"/>
      <c r="AI183" s="558"/>
    </row>
    <row r="184" spans="2:35">
      <c r="B184" s="558"/>
      <c r="C184" s="558"/>
      <c r="D184" s="558"/>
      <c r="E184" s="558"/>
      <c r="F184" s="558"/>
      <c r="G184" s="558"/>
      <c r="H184" s="558"/>
      <c r="I184" s="558"/>
      <c r="J184" s="558"/>
      <c r="K184" s="558"/>
      <c r="L184" s="558"/>
      <c r="M184" s="558"/>
      <c r="N184" s="558"/>
      <c r="O184" s="558"/>
      <c r="P184" s="558"/>
      <c r="Q184" s="558"/>
      <c r="R184" s="558"/>
      <c r="S184" s="558"/>
      <c r="T184" s="558"/>
      <c r="U184" s="558"/>
      <c r="V184" s="558"/>
      <c r="W184" s="558"/>
      <c r="X184" s="558"/>
      <c r="Y184" s="558"/>
      <c r="Z184" s="558"/>
      <c r="AA184" s="558"/>
      <c r="AB184" s="558"/>
      <c r="AC184" s="558"/>
      <c r="AD184" s="558"/>
      <c r="AE184" s="558"/>
      <c r="AF184" s="558"/>
      <c r="AG184" s="558"/>
      <c r="AH184" s="558"/>
      <c r="AI184" s="558"/>
    </row>
    <row r="185" spans="2:35">
      <c r="B185" s="558"/>
      <c r="C185" s="558"/>
      <c r="D185" s="558"/>
      <c r="E185" s="558"/>
      <c r="F185" s="558"/>
      <c r="G185" s="558"/>
      <c r="H185" s="558"/>
      <c r="I185" s="558"/>
      <c r="J185" s="558"/>
      <c r="K185" s="558"/>
      <c r="L185" s="558"/>
      <c r="M185" s="558"/>
      <c r="N185" s="558"/>
      <c r="O185" s="558"/>
      <c r="P185" s="558"/>
      <c r="Q185" s="558"/>
      <c r="R185" s="558"/>
      <c r="S185" s="558"/>
      <c r="T185" s="558"/>
      <c r="U185" s="558"/>
      <c r="V185" s="558"/>
      <c r="W185" s="558"/>
      <c r="X185" s="558"/>
      <c r="Y185" s="558"/>
      <c r="Z185" s="558"/>
      <c r="AA185" s="558"/>
      <c r="AB185" s="558"/>
      <c r="AC185" s="558"/>
      <c r="AD185" s="558"/>
      <c r="AE185" s="558"/>
      <c r="AF185" s="558"/>
      <c r="AG185" s="558"/>
      <c r="AH185" s="558"/>
      <c r="AI185" s="558"/>
    </row>
    <row r="186" spans="2:35">
      <c r="B186" s="558"/>
      <c r="C186" s="558"/>
      <c r="D186" s="558"/>
      <c r="E186" s="558"/>
      <c r="F186" s="558"/>
      <c r="G186" s="558"/>
      <c r="H186" s="558"/>
      <c r="I186" s="558"/>
      <c r="J186" s="558"/>
      <c r="K186" s="558"/>
      <c r="L186" s="558"/>
      <c r="M186" s="558"/>
      <c r="N186" s="558"/>
      <c r="O186" s="558"/>
      <c r="P186" s="558"/>
      <c r="Q186" s="558"/>
      <c r="R186" s="558"/>
      <c r="S186" s="558"/>
      <c r="T186" s="558"/>
      <c r="U186" s="558"/>
      <c r="V186" s="558"/>
      <c r="W186" s="558"/>
      <c r="X186" s="558"/>
      <c r="Y186" s="558"/>
      <c r="Z186" s="558"/>
      <c r="AA186" s="558"/>
      <c r="AB186" s="558"/>
      <c r="AC186" s="558"/>
      <c r="AD186" s="558"/>
      <c r="AE186" s="558"/>
      <c r="AF186" s="558"/>
      <c r="AG186" s="558"/>
      <c r="AH186" s="558"/>
      <c r="AI186" s="558"/>
    </row>
    <row r="187" spans="2:35">
      <c r="B187" s="558"/>
      <c r="C187" s="558"/>
      <c r="D187" s="558"/>
      <c r="E187" s="558"/>
      <c r="F187" s="558"/>
      <c r="G187" s="558"/>
      <c r="H187" s="558"/>
      <c r="I187" s="558"/>
      <c r="J187" s="558"/>
      <c r="K187" s="558"/>
      <c r="L187" s="558"/>
      <c r="M187" s="558"/>
      <c r="N187" s="558"/>
      <c r="O187" s="558"/>
      <c r="P187" s="558"/>
      <c r="Q187" s="558"/>
      <c r="R187" s="558"/>
      <c r="S187" s="558"/>
      <c r="T187" s="558"/>
      <c r="U187" s="558"/>
      <c r="V187" s="558"/>
      <c r="W187" s="558"/>
      <c r="X187" s="558"/>
      <c r="Y187" s="558"/>
      <c r="Z187" s="558"/>
      <c r="AA187" s="558"/>
      <c r="AB187" s="558"/>
      <c r="AC187" s="558"/>
      <c r="AD187" s="558"/>
      <c r="AE187" s="558"/>
      <c r="AF187" s="558"/>
      <c r="AG187" s="558"/>
      <c r="AH187" s="558"/>
      <c r="AI187" s="558"/>
    </row>
    <row r="188" spans="2:35">
      <c r="B188" s="558"/>
      <c r="C188" s="558"/>
      <c r="D188" s="558"/>
      <c r="E188" s="558"/>
      <c r="F188" s="558"/>
      <c r="G188" s="558"/>
      <c r="H188" s="558"/>
      <c r="I188" s="558"/>
      <c r="J188" s="558"/>
      <c r="K188" s="558"/>
      <c r="L188" s="558"/>
      <c r="M188" s="558"/>
      <c r="N188" s="558"/>
      <c r="O188" s="558"/>
      <c r="P188" s="558"/>
      <c r="Q188" s="558"/>
      <c r="R188" s="558"/>
      <c r="S188" s="558"/>
      <c r="T188" s="558"/>
      <c r="U188" s="558"/>
      <c r="V188" s="558"/>
      <c r="W188" s="558"/>
      <c r="X188" s="558"/>
      <c r="Y188" s="558"/>
      <c r="Z188" s="558"/>
      <c r="AA188" s="558"/>
      <c r="AB188" s="558"/>
      <c r="AC188" s="558"/>
      <c r="AD188" s="558"/>
      <c r="AE188" s="558"/>
      <c r="AF188" s="558"/>
      <c r="AG188" s="558"/>
      <c r="AH188" s="558"/>
      <c r="AI188" s="558"/>
    </row>
    <row r="189" spans="2:35">
      <c r="B189" s="558"/>
      <c r="C189" s="558"/>
      <c r="D189" s="558"/>
      <c r="E189" s="558"/>
      <c r="F189" s="558"/>
      <c r="G189" s="558"/>
      <c r="H189" s="558"/>
      <c r="I189" s="558"/>
      <c r="J189" s="558"/>
      <c r="K189" s="558"/>
      <c r="L189" s="558"/>
      <c r="M189" s="558"/>
      <c r="N189" s="558"/>
      <c r="O189" s="558"/>
      <c r="P189" s="558"/>
      <c r="Q189" s="558"/>
      <c r="R189" s="558"/>
      <c r="S189" s="558"/>
      <c r="T189" s="558"/>
      <c r="U189" s="558"/>
      <c r="V189" s="558"/>
      <c r="W189" s="558"/>
      <c r="X189" s="558"/>
      <c r="Y189" s="558"/>
      <c r="Z189" s="558"/>
      <c r="AA189" s="558"/>
      <c r="AB189" s="558"/>
      <c r="AC189" s="558"/>
      <c r="AD189" s="558"/>
      <c r="AE189" s="558"/>
      <c r="AF189" s="558"/>
      <c r="AG189" s="558"/>
      <c r="AH189" s="558"/>
      <c r="AI189" s="558"/>
    </row>
    <row r="190" spans="2:35">
      <c r="B190" s="558"/>
      <c r="C190" s="558"/>
      <c r="D190" s="558"/>
      <c r="E190" s="558"/>
      <c r="F190" s="558"/>
      <c r="G190" s="558"/>
      <c r="H190" s="558"/>
      <c r="I190" s="558"/>
      <c r="J190" s="558"/>
      <c r="K190" s="558"/>
      <c r="L190" s="558"/>
      <c r="M190" s="558"/>
      <c r="N190" s="558"/>
      <c r="O190" s="558"/>
      <c r="P190" s="558"/>
      <c r="Q190" s="558"/>
      <c r="R190" s="558"/>
      <c r="S190" s="558"/>
      <c r="T190" s="558"/>
      <c r="U190" s="558"/>
      <c r="V190" s="558"/>
      <c r="W190" s="558"/>
      <c r="X190" s="558"/>
      <c r="Y190" s="558"/>
      <c r="Z190" s="558"/>
      <c r="AA190" s="558"/>
      <c r="AB190" s="558"/>
      <c r="AC190" s="558"/>
      <c r="AD190" s="558"/>
      <c r="AE190" s="558"/>
      <c r="AF190" s="558"/>
      <c r="AG190" s="558"/>
      <c r="AH190" s="558"/>
      <c r="AI190" s="558"/>
    </row>
    <row r="191" spans="2:35">
      <c r="B191" s="558"/>
      <c r="C191" s="558"/>
      <c r="D191" s="558"/>
      <c r="E191" s="558"/>
      <c r="F191" s="558"/>
      <c r="G191" s="558"/>
      <c r="H191" s="558"/>
      <c r="I191" s="558"/>
      <c r="J191" s="558"/>
      <c r="K191" s="558"/>
      <c r="L191" s="558"/>
      <c r="M191" s="558"/>
      <c r="N191" s="558"/>
      <c r="O191" s="558"/>
      <c r="P191" s="558"/>
      <c r="Q191" s="558"/>
      <c r="R191" s="558"/>
      <c r="S191" s="558"/>
      <c r="T191" s="558"/>
      <c r="U191" s="558"/>
      <c r="V191" s="558"/>
      <c r="W191" s="558"/>
      <c r="X191" s="558"/>
      <c r="Y191" s="558"/>
      <c r="Z191" s="558"/>
      <c r="AA191" s="558"/>
      <c r="AB191" s="558"/>
      <c r="AC191" s="558"/>
      <c r="AD191" s="558"/>
      <c r="AE191" s="558"/>
      <c r="AF191" s="558"/>
      <c r="AG191" s="558"/>
      <c r="AH191" s="558"/>
      <c r="AI191" s="558"/>
    </row>
    <row r="192" spans="2:35">
      <c r="B192" s="558"/>
      <c r="C192" s="558"/>
      <c r="D192" s="558"/>
      <c r="E192" s="558"/>
      <c r="F192" s="558"/>
      <c r="G192" s="558"/>
      <c r="H192" s="558"/>
      <c r="I192" s="558"/>
      <c r="J192" s="558"/>
      <c r="K192" s="558"/>
      <c r="L192" s="558"/>
      <c r="M192" s="558"/>
      <c r="N192" s="558"/>
      <c r="O192" s="558"/>
      <c r="P192" s="558"/>
      <c r="Q192" s="558"/>
      <c r="R192" s="558"/>
      <c r="S192" s="558"/>
      <c r="T192" s="558"/>
      <c r="U192" s="558"/>
      <c r="V192" s="558"/>
      <c r="W192" s="558"/>
      <c r="X192" s="558"/>
      <c r="Y192" s="558"/>
      <c r="Z192" s="558"/>
      <c r="AA192" s="558"/>
      <c r="AB192" s="558"/>
      <c r="AC192" s="558"/>
      <c r="AD192" s="558"/>
      <c r="AE192" s="558"/>
      <c r="AF192" s="558"/>
      <c r="AG192" s="558"/>
      <c r="AH192" s="558"/>
      <c r="AI192" s="558"/>
    </row>
    <row r="193" spans="2:35">
      <c r="B193" s="558"/>
      <c r="C193" s="558"/>
      <c r="D193" s="558"/>
      <c r="E193" s="558"/>
      <c r="F193" s="558"/>
      <c r="G193" s="558"/>
      <c r="H193" s="558"/>
      <c r="I193" s="558"/>
      <c r="J193" s="558"/>
      <c r="K193" s="558"/>
      <c r="L193" s="558"/>
      <c r="M193" s="558"/>
      <c r="N193" s="558"/>
      <c r="O193" s="558"/>
      <c r="P193" s="558"/>
      <c r="Q193" s="558"/>
      <c r="R193" s="558"/>
      <c r="S193" s="558"/>
      <c r="T193" s="558"/>
      <c r="U193" s="558"/>
      <c r="V193" s="558"/>
      <c r="W193" s="558"/>
      <c r="X193" s="558"/>
      <c r="Y193" s="558"/>
      <c r="Z193" s="558"/>
      <c r="AA193" s="558"/>
      <c r="AB193" s="558"/>
      <c r="AC193" s="558"/>
      <c r="AD193" s="558"/>
      <c r="AE193" s="558"/>
      <c r="AF193" s="558"/>
      <c r="AG193" s="558"/>
      <c r="AH193" s="558"/>
      <c r="AI193" s="558"/>
    </row>
    <row r="194" spans="2:35">
      <c r="B194" s="558"/>
      <c r="C194" s="558"/>
      <c r="D194" s="558"/>
      <c r="E194" s="558"/>
      <c r="F194" s="558"/>
      <c r="G194" s="558"/>
      <c r="H194" s="558"/>
      <c r="I194" s="558"/>
      <c r="J194" s="558"/>
      <c r="K194" s="558"/>
      <c r="L194" s="558"/>
      <c r="M194" s="558"/>
      <c r="N194" s="558"/>
      <c r="O194" s="558"/>
      <c r="P194" s="558"/>
      <c r="Q194" s="558"/>
      <c r="R194" s="558"/>
      <c r="S194" s="558"/>
      <c r="T194" s="558"/>
      <c r="U194" s="558"/>
      <c r="V194" s="558"/>
      <c r="W194" s="558"/>
      <c r="X194" s="558"/>
      <c r="Y194" s="558"/>
      <c r="Z194" s="558"/>
      <c r="AA194" s="558"/>
      <c r="AB194" s="558"/>
      <c r="AC194" s="558"/>
      <c r="AD194" s="558"/>
      <c r="AE194" s="558"/>
      <c r="AF194" s="558"/>
      <c r="AG194" s="558"/>
      <c r="AH194" s="558"/>
      <c r="AI194" s="558"/>
    </row>
    <row r="195" spans="2:35">
      <c r="B195" s="558"/>
      <c r="C195" s="558"/>
      <c r="D195" s="558"/>
      <c r="E195" s="558"/>
      <c r="F195" s="558"/>
      <c r="G195" s="558"/>
      <c r="H195" s="558"/>
      <c r="I195" s="558"/>
      <c r="J195" s="558"/>
      <c r="K195" s="558"/>
      <c r="L195" s="558"/>
      <c r="M195" s="558"/>
      <c r="N195" s="558"/>
      <c r="O195" s="558"/>
      <c r="P195" s="558"/>
      <c r="Q195" s="558"/>
      <c r="R195" s="558"/>
      <c r="S195" s="558"/>
      <c r="T195" s="558"/>
      <c r="U195" s="558"/>
      <c r="V195" s="558"/>
      <c r="W195" s="558"/>
      <c r="X195" s="558"/>
      <c r="Y195" s="558"/>
      <c r="Z195" s="558"/>
      <c r="AA195" s="558"/>
      <c r="AB195" s="558"/>
      <c r="AC195" s="558"/>
      <c r="AD195" s="558"/>
      <c r="AE195" s="558"/>
      <c r="AF195" s="558"/>
      <c r="AG195" s="558"/>
      <c r="AH195" s="558"/>
      <c r="AI195" s="558"/>
    </row>
    <row r="196" spans="2:35">
      <c r="B196" s="558"/>
      <c r="C196" s="558"/>
      <c r="D196" s="558"/>
      <c r="E196" s="558"/>
      <c r="F196" s="558"/>
      <c r="G196" s="558"/>
      <c r="H196" s="558"/>
      <c r="I196" s="558"/>
      <c r="J196" s="558"/>
      <c r="K196" s="558"/>
      <c r="L196" s="558"/>
      <c r="M196" s="558"/>
      <c r="N196" s="558"/>
      <c r="O196" s="558"/>
      <c r="P196" s="558"/>
      <c r="Q196" s="558"/>
      <c r="R196" s="558"/>
      <c r="S196" s="558"/>
      <c r="T196" s="558"/>
      <c r="U196" s="558"/>
      <c r="V196" s="558"/>
      <c r="W196" s="558"/>
      <c r="X196" s="558"/>
      <c r="Y196" s="558"/>
      <c r="Z196" s="558"/>
      <c r="AA196" s="558"/>
      <c r="AB196" s="558"/>
      <c r="AC196" s="558"/>
      <c r="AD196" s="558"/>
      <c r="AE196" s="558"/>
      <c r="AF196" s="558"/>
      <c r="AG196" s="558"/>
      <c r="AH196" s="558"/>
      <c r="AI196" s="558"/>
    </row>
    <row r="197" spans="2:35">
      <c r="B197" s="558"/>
      <c r="C197" s="558"/>
      <c r="D197" s="558"/>
      <c r="E197" s="558"/>
      <c r="F197" s="558"/>
      <c r="G197" s="558"/>
      <c r="H197" s="558"/>
      <c r="I197" s="558"/>
      <c r="J197" s="558"/>
      <c r="K197" s="558"/>
      <c r="L197" s="558"/>
      <c r="M197" s="558"/>
      <c r="N197" s="558"/>
      <c r="O197" s="558"/>
      <c r="P197" s="558"/>
      <c r="Q197" s="558"/>
      <c r="R197" s="558"/>
      <c r="S197" s="558"/>
      <c r="T197" s="558"/>
      <c r="U197" s="558"/>
      <c r="V197" s="558"/>
      <c r="W197" s="558"/>
      <c r="X197" s="558"/>
      <c r="Y197" s="558"/>
      <c r="Z197" s="558"/>
      <c r="AA197" s="558"/>
      <c r="AB197" s="558"/>
      <c r="AC197" s="558"/>
      <c r="AD197" s="558"/>
      <c r="AE197" s="558"/>
      <c r="AF197" s="558"/>
      <c r="AG197" s="558"/>
      <c r="AH197" s="558"/>
      <c r="AI197" s="558"/>
    </row>
    <row r="198" spans="2:35">
      <c r="B198" s="558"/>
      <c r="C198" s="558"/>
      <c r="D198" s="558"/>
      <c r="E198" s="558"/>
      <c r="F198" s="558"/>
      <c r="G198" s="558"/>
      <c r="H198" s="558"/>
      <c r="I198" s="558"/>
      <c r="J198" s="558"/>
      <c r="K198" s="558"/>
      <c r="L198" s="558"/>
      <c r="M198" s="558"/>
      <c r="N198" s="558"/>
      <c r="O198" s="558"/>
      <c r="P198" s="558"/>
      <c r="Q198" s="558"/>
      <c r="R198" s="558"/>
      <c r="S198" s="558"/>
      <c r="T198" s="558"/>
      <c r="U198" s="558"/>
      <c r="V198" s="558"/>
      <c r="W198" s="558"/>
      <c r="X198" s="558"/>
      <c r="Y198" s="558"/>
      <c r="Z198" s="558"/>
      <c r="AA198" s="558"/>
      <c r="AB198" s="558"/>
      <c r="AC198" s="558"/>
      <c r="AD198" s="558"/>
      <c r="AE198" s="558"/>
      <c r="AF198" s="558"/>
      <c r="AG198" s="558"/>
      <c r="AH198" s="558"/>
      <c r="AI198" s="558"/>
    </row>
    <row r="199" spans="2:35">
      <c r="B199" s="558"/>
      <c r="C199" s="558"/>
      <c r="D199" s="558"/>
      <c r="E199" s="558"/>
      <c r="F199" s="558"/>
      <c r="G199" s="558"/>
      <c r="H199" s="558"/>
      <c r="I199" s="558"/>
      <c r="J199" s="558"/>
      <c r="K199" s="558"/>
      <c r="L199" s="558"/>
      <c r="M199" s="558"/>
      <c r="N199" s="558"/>
      <c r="O199" s="558"/>
      <c r="P199" s="558"/>
      <c r="Q199" s="558"/>
      <c r="R199" s="558"/>
      <c r="S199" s="558"/>
      <c r="T199" s="558"/>
      <c r="U199" s="558"/>
      <c r="V199" s="558"/>
      <c r="W199" s="558"/>
      <c r="X199" s="558"/>
      <c r="Y199" s="558"/>
      <c r="Z199" s="558"/>
      <c r="AA199" s="558"/>
      <c r="AB199" s="558"/>
      <c r="AC199" s="558"/>
      <c r="AD199" s="558"/>
      <c r="AE199" s="558"/>
      <c r="AF199" s="558"/>
      <c r="AG199" s="558"/>
      <c r="AH199" s="558"/>
      <c r="AI199" s="558"/>
    </row>
    <row r="200" spans="2:35">
      <c r="B200" s="558"/>
      <c r="C200" s="558"/>
      <c r="D200" s="558"/>
      <c r="E200" s="558"/>
      <c r="F200" s="558"/>
      <c r="G200" s="558"/>
      <c r="H200" s="558"/>
      <c r="I200" s="558"/>
      <c r="J200" s="558"/>
      <c r="K200" s="558"/>
      <c r="L200" s="558"/>
      <c r="M200" s="558"/>
      <c r="N200" s="558"/>
      <c r="O200" s="558"/>
      <c r="P200" s="558"/>
      <c r="Q200" s="558"/>
      <c r="R200" s="558"/>
      <c r="S200" s="558"/>
      <c r="T200" s="558"/>
      <c r="U200" s="558"/>
      <c r="V200" s="558"/>
      <c r="W200" s="558"/>
      <c r="X200" s="558"/>
      <c r="Y200" s="558"/>
      <c r="Z200" s="558"/>
      <c r="AA200" s="558"/>
      <c r="AB200" s="558"/>
      <c r="AC200" s="558"/>
      <c r="AD200" s="558"/>
      <c r="AE200" s="558"/>
      <c r="AF200" s="558"/>
      <c r="AG200" s="558"/>
      <c r="AH200" s="558"/>
      <c r="AI200" s="558"/>
    </row>
    <row r="201" spans="2:35">
      <c r="B201" s="558"/>
      <c r="C201" s="558"/>
      <c r="D201" s="558"/>
      <c r="E201" s="558"/>
      <c r="F201" s="558"/>
      <c r="G201" s="558"/>
      <c r="H201" s="558"/>
      <c r="I201" s="558"/>
      <c r="J201" s="558"/>
      <c r="K201" s="558"/>
      <c r="L201" s="558"/>
      <c r="M201" s="558"/>
      <c r="N201" s="558"/>
      <c r="O201" s="558"/>
      <c r="P201" s="558"/>
      <c r="Q201" s="558"/>
      <c r="R201" s="558"/>
      <c r="S201" s="558"/>
      <c r="T201" s="558"/>
      <c r="U201" s="558"/>
      <c r="V201" s="558"/>
      <c r="W201" s="558"/>
      <c r="X201" s="558"/>
      <c r="Y201" s="558"/>
      <c r="Z201" s="558"/>
      <c r="AA201" s="558"/>
      <c r="AB201" s="558"/>
      <c r="AC201" s="558"/>
      <c r="AD201" s="558"/>
      <c r="AE201" s="558"/>
      <c r="AF201" s="558"/>
      <c r="AG201" s="558"/>
      <c r="AH201" s="558"/>
      <c r="AI201" s="558"/>
    </row>
    <row r="202" spans="2:35">
      <c r="B202" s="558"/>
      <c r="C202" s="558"/>
      <c r="D202" s="558"/>
      <c r="E202" s="558"/>
      <c r="F202" s="558"/>
      <c r="G202" s="558"/>
      <c r="H202" s="558"/>
      <c r="I202" s="558"/>
      <c r="J202" s="558"/>
      <c r="K202" s="558"/>
      <c r="L202" s="558"/>
      <c r="M202" s="558"/>
      <c r="N202" s="558"/>
      <c r="O202" s="558"/>
      <c r="P202" s="558"/>
      <c r="Q202" s="558"/>
      <c r="R202" s="558"/>
      <c r="S202" s="558"/>
      <c r="T202" s="558"/>
      <c r="U202" s="558"/>
      <c r="V202" s="558"/>
      <c r="W202" s="558"/>
      <c r="X202" s="558"/>
      <c r="Y202" s="558"/>
      <c r="Z202" s="558"/>
      <c r="AA202" s="558"/>
      <c r="AB202" s="558"/>
      <c r="AC202" s="558"/>
      <c r="AD202" s="558"/>
      <c r="AE202" s="558"/>
      <c r="AF202" s="558"/>
      <c r="AG202" s="558"/>
      <c r="AH202" s="558"/>
      <c r="AI202" s="558"/>
    </row>
    <row r="203" spans="2:35">
      <c r="B203" s="558"/>
      <c r="C203" s="558"/>
      <c r="D203" s="558"/>
      <c r="E203" s="558"/>
      <c r="F203" s="558"/>
      <c r="G203" s="558"/>
      <c r="H203" s="558"/>
      <c r="I203" s="558"/>
      <c r="J203" s="558"/>
      <c r="K203" s="558"/>
      <c r="L203" s="558"/>
      <c r="M203" s="558"/>
      <c r="N203" s="558"/>
      <c r="O203" s="558"/>
      <c r="P203" s="558"/>
      <c r="Q203" s="558"/>
      <c r="R203" s="558"/>
      <c r="S203" s="558"/>
      <c r="T203" s="558"/>
      <c r="U203" s="558"/>
      <c r="V203" s="558"/>
      <c r="W203" s="558"/>
      <c r="X203" s="558"/>
      <c r="Y203" s="558"/>
      <c r="Z203" s="558"/>
      <c r="AA203" s="558"/>
      <c r="AB203" s="558"/>
      <c r="AC203" s="558"/>
      <c r="AD203" s="558"/>
      <c r="AE203" s="558"/>
      <c r="AF203" s="558"/>
      <c r="AG203" s="558"/>
      <c r="AH203" s="558"/>
      <c r="AI203" s="558"/>
    </row>
    <row r="204" spans="2:35">
      <c r="B204" s="558"/>
      <c r="C204" s="558"/>
      <c r="D204" s="558"/>
      <c r="E204" s="558"/>
      <c r="F204" s="558"/>
      <c r="G204" s="558"/>
      <c r="H204" s="558"/>
      <c r="I204" s="558"/>
      <c r="J204" s="558"/>
      <c r="K204" s="558"/>
      <c r="L204" s="558"/>
      <c r="M204" s="558"/>
      <c r="N204" s="558"/>
      <c r="O204" s="558"/>
      <c r="P204" s="558"/>
      <c r="Q204" s="558"/>
      <c r="R204" s="558"/>
      <c r="S204" s="558"/>
      <c r="T204" s="558"/>
      <c r="U204" s="558"/>
      <c r="V204" s="558"/>
      <c r="W204" s="558"/>
      <c r="X204" s="558"/>
      <c r="Y204" s="558"/>
      <c r="Z204" s="558"/>
      <c r="AA204" s="558"/>
      <c r="AB204" s="558"/>
      <c r="AC204" s="558"/>
      <c r="AD204" s="558"/>
      <c r="AE204" s="558"/>
      <c r="AF204" s="558"/>
      <c r="AG204" s="558"/>
      <c r="AH204" s="558"/>
      <c r="AI204" s="558"/>
    </row>
    <row r="205" spans="2:35">
      <c r="B205" s="558"/>
      <c r="C205" s="558"/>
      <c r="D205" s="558"/>
      <c r="E205" s="558"/>
      <c r="F205" s="558"/>
      <c r="G205" s="558"/>
      <c r="H205" s="558"/>
      <c r="I205" s="558"/>
      <c r="J205" s="558"/>
      <c r="K205" s="558"/>
      <c r="L205" s="558"/>
      <c r="M205" s="558"/>
      <c r="N205" s="558"/>
      <c r="O205" s="558"/>
      <c r="P205" s="558"/>
      <c r="Q205" s="558"/>
      <c r="R205" s="558"/>
      <c r="S205" s="558"/>
      <c r="T205" s="558"/>
      <c r="U205" s="558"/>
      <c r="V205" s="558"/>
      <c r="W205" s="558"/>
      <c r="X205" s="558"/>
      <c r="Y205" s="558"/>
      <c r="Z205" s="558"/>
      <c r="AA205" s="558"/>
      <c r="AB205" s="558"/>
      <c r="AC205" s="558"/>
      <c r="AD205" s="558"/>
      <c r="AE205" s="558"/>
      <c r="AF205" s="558"/>
      <c r="AG205" s="558"/>
      <c r="AH205" s="558"/>
      <c r="AI205" s="558"/>
    </row>
    <row r="206" spans="2:35">
      <c r="B206" s="558"/>
      <c r="C206" s="558"/>
      <c r="D206" s="558"/>
      <c r="E206" s="558"/>
      <c r="F206" s="558"/>
      <c r="G206" s="558"/>
      <c r="H206" s="558"/>
      <c r="I206" s="558"/>
      <c r="J206" s="558"/>
      <c r="K206" s="558"/>
      <c r="L206" s="558"/>
      <c r="M206" s="558"/>
      <c r="N206" s="558"/>
      <c r="O206" s="558"/>
      <c r="P206" s="558"/>
      <c r="Q206" s="558"/>
      <c r="R206" s="558"/>
      <c r="S206" s="558"/>
      <c r="T206" s="558"/>
      <c r="U206" s="558"/>
      <c r="V206" s="558"/>
      <c r="W206" s="558"/>
      <c r="X206" s="558"/>
      <c r="Y206" s="558"/>
      <c r="Z206" s="558"/>
      <c r="AA206" s="558"/>
      <c r="AB206" s="558"/>
      <c r="AC206" s="558"/>
      <c r="AD206" s="558"/>
      <c r="AE206" s="558"/>
      <c r="AF206" s="558"/>
      <c r="AG206" s="558"/>
      <c r="AH206" s="558"/>
      <c r="AI206" s="558"/>
    </row>
    <row r="207" spans="2:35">
      <c r="B207" s="558"/>
      <c r="C207" s="558"/>
      <c r="D207" s="558"/>
      <c r="E207" s="558"/>
      <c r="F207" s="558"/>
      <c r="G207" s="558"/>
      <c r="H207" s="558"/>
      <c r="I207" s="558"/>
      <c r="J207" s="558"/>
      <c r="K207" s="558"/>
      <c r="L207" s="558"/>
      <c r="M207" s="558"/>
      <c r="N207" s="558"/>
      <c r="O207" s="558"/>
      <c r="P207" s="558"/>
      <c r="Q207" s="558"/>
      <c r="R207" s="558"/>
      <c r="S207" s="558"/>
      <c r="T207" s="558"/>
      <c r="U207" s="558"/>
      <c r="V207" s="558"/>
      <c r="W207" s="558"/>
      <c r="X207" s="558"/>
      <c r="Y207" s="558"/>
      <c r="Z207" s="558"/>
      <c r="AA207" s="558"/>
      <c r="AB207" s="558"/>
      <c r="AC207" s="558"/>
      <c r="AD207" s="558"/>
      <c r="AE207" s="558"/>
      <c r="AF207" s="558"/>
      <c r="AG207" s="558"/>
      <c r="AH207" s="558"/>
      <c r="AI207" s="558"/>
    </row>
    <row r="208" spans="2:35">
      <c r="B208" s="558"/>
      <c r="C208" s="558"/>
      <c r="D208" s="558"/>
      <c r="E208" s="558"/>
      <c r="F208" s="558"/>
      <c r="G208" s="558"/>
      <c r="H208" s="558"/>
      <c r="I208" s="558"/>
      <c r="J208" s="558"/>
      <c r="K208" s="558"/>
      <c r="L208" s="558"/>
      <c r="M208" s="558"/>
      <c r="N208" s="558"/>
      <c r="O208" s="558"/>
      <c r="P208" s="558"/>
      <c r="Q208" s="558"/>
      <c r="R208" s="558"/>
      <c r="S208" s="558"/>
      <c r="T208" s="558"/>
      <c r="U208" s="558"/>
      <c r="V208" s="558"/>
      <c r="W208" s="558"/>
      <c r="X208" s="558"/>
      <c r="Y208" s="558"/>
      <c r="Z208" s="558"/>
      <c r="AA208" s="558"/>
      <c r="AB208" s="558"/>
      <c r="AC208" s="558"/>
      <c r="AD208" s="558"/>
      <c r="AE208" s="558"/>
      <c r="AF208" s="558"/>
      <c r="AG208" s="558"/>
      <c r="AH208" s="558"/>
      <c r="AI208" s="558"/>
    </row>
    <row r="209" spans="2:35">
      <c r="B209" s="558"/>
      <c r="C209" s="558"/>
      <c r="D209" s="558"/>
      <c r="E209" s="558"/>
      <c r="F209" s="558"/>
      <c r="G209" s="558"/>
      <c r="H209" s="558"/>
      <c r="I209" s="558"/>
      <c r="J209" s="558"/>
      <c r="K209" s="558"/>
      <c r="L209" s="558"/>
      <c r="M209" s="558"/>
      <c r="N209" s="558"/>
      <c r="O209" s="558"/>
      <c r="P209" s="558"/>
      <c r="Q209" s="558"/>
      <c r="R209" s="558"/>
      <c r="S209" s="558"/>
      <c r="T209" s="558"/>
      <c r="U209" s="558"/>
      <c r="V209" s="558"/>
      <c r="W209" s="558"/>
      <c r="X209" s="558"/>
      <c r="Y209" s="558"/>
      <c r="Z209" s="558"/>
      <c r="AA209" s="558"/>
      <c r="AB209" s="558"/>
      <c r="AC209" s="558"/>
      <c r="AD209" s="558"/>
      <c r="AE209" s="558"/>
      <c r="AF209" s="558"/>
      <c r="AG209" s="558"/>
      <c r="AH209" s="558"/>
      <c r="AI209" s="558"/>
    </row>
    <row r="210" spans="2:35">
      <c r="B210" s="558"/>
      <c r="C210" s="558"/>
      <c r="D210" s="558"/>
      <c r="E210" s="558"/>
      <c r="F210" s="558"/>
      <c r="G210" s="558"/>
      <c r="H210" s="558"/>
      <c r="I210" s="558"/>
      <c r="J210" s="558"/>
      <c r="K210" s="558"/>
      <c r="L210" s="558"/>
      <c r="M210" s="558"/>
      <c r="N210" s="558"/>
      <c r="O210" s="558"/>
      <c r="P210" s="558"/>
      <c r="Q210" s="558"/>
      <c r="R210" s="558"/>
      <c r="S210" s="558"/>
      <c r="T210" s="558"/>
      <c r="U210" s="558"/>
      <c r="V210" s="558"/>
      <c r="W210" s="558"/>
      <c r="X210" s="558"/>
      <c r="Y210" s="558"/>
      <c r="Z210" s="558"/>
      <c r="AA210" s="558"/>
      <c r="AB210" s="558"/>
      <c r="AC210" s="558"/>
      <c r="AD210" s="558"/>
      <c r="AE210" s="558"/>
      <c r="AF210" s="558"/>
      <c r="AG210" s="558"/>
      <c r="AH210" s="558"/>
      <c r="AI210" s="558"/>
    </row>
    <row r="211" spans="2:35">
      <c r="B211" s="558"/>
      <c r="C211" s="558"/>
      <c r="D211" s="558"/>
      <c r="E211" s="558"/>
      <c r="F211" s="558"/>
      <c r="G211" s="558"/>
      <c r="H211" s="558"/>
      <c r="I211" s="558"/>
      <c r="J211" s="558"/>
      <c r="K211" s="558"/>
      <c r="L211" s="558"/>
      <c r="M211" s="558"/>
      <c r="N211" s="558"/>
      <c r="O211" s="558"/>
      <c r="P211" s="558"/>
      <c r="Q211" s="558"/>
      <c r="R211" s="558"/>
      <c r="S211" s="558"/>
      <c r="T211" s="558"/>
      <c r="U211" s="558"/>
      <c r="V211" s="558"/>
      <c r="W211" s="558"/>
      <c r="X211" s="558"/>
      <c r="Y211" s="558"/>
      <c r="Z211" s="558"/>
      <c r="AA211" s="558"/>
      <c r="AB211" s="558"/>
      <c r="AC211" s="558"/>
      <c r="AD211" s="558"/>
      <c r="AE211" s="558"/>
      <c r="AF211" s="558"/>
      <c r="AG211" s="558"/>
      <c r="AH211" s="558"/>
      <c r="AI211" s="558"/>
    </row>
    <row r="212" spans="2:35">
      <c r="B212" s="558"/>
      <c r="C212" s="558"/>
      <c r="D212" s="558"/>
      <c r="E212" s="558"/>
      <c r="F212" s="558"/>
      <c r="G212" s="558"/>
      <c r="H212" s="558"/>
      <c r="I212" s="558"/>
      <c r="J212" s="558"/>
      <c r="K212" s="558"/>
      <c r="L212" s="558"/>
      <c r="M212" s="558"/>
      <c r="N212" s="558"/>
      <c r="O212" s="558"/>
      <c r="P212" s="558"/>
      <c r="Q212" s="558"/>
      <c r="R212" s="558"/>
      <c r="S212" s="558"/>
      <c r="T212" s="558"/>
      <c r="U212" s="558"/>
      <c r="V212" s="558"/>
      <c r="W212" s="558"/>
      <c r="X212" s="558"/>
      <c r="Y212" s="558"/>
      <c r="Z212" s="558"/>
      <c r="AA212" s="558"/>
      <c r="AB212" s="558"/>
      <c r="AC212" s="558"/>
      <c r="AD212" s="558"/>
      <c r="AE212" s="558"/>
      <c r="AF212" s="558"/>
      <c r="AG212" s="558"/>
      <c r="AH212" s="558"/>
      <c r="AI212" s="558"/>
    </row>
    <row r="213" spans="2:35">
      <c r="B213" s="558"/>
      <c r="C213" s="558"/>
      <c r="D213" s="558"/>
      <c r="E213" s="558"/>
      <c r="F213" s="558"/>
      <c r="G213" s="558"/>
      <c r="H213" s="558"/>
      <c r="I213" s="558"/>
      <c r="J213" s="558"/>
      <c r="K213" s="558"/>
      <c r="L213" s="558"/>
      <c r="M213" s="558"/>
      <c r="N213" s="558"/>
      <c r="O213" s="558"/>
      <c r="P213" s="558"/>
      <c r="Q213" s="558"/>
      <c r="R213" s="558"/>
      <c r="S213" s="558"/>
      <c r="T213" s="558"/>
      <c r="U213" s="558"/>
      <c r="V213" s="558"/>
      <c r="W213" s="558"/>
      <c r="X213" s="558"/>
      <c r="Y213" s="558"/>
      <c r="Z213" s="558"/>
      <c r="AA213" s="558"/>
      <c r="AB213" s="558"/>
      <c r="AC213" s="558"/>
      <c r="AD213" s="558"/>
      <c r="AE213" s="558"/>
      <c r="AF213" s="558"/>
      <c r="AG213" s="558"/>
      <c r="AH213" s="558"/>
      <c r="AI213" s="558"/>
    </row>
    <row r="214" spans="2:35">
      <c r="B214" s="558"/>
      <c r="C214" s="558"/>
      <c r="D214" s="558"/>
      <c r="E214" s="558"/>
      <c r="F214" s="558"/>
      <c r="G214" s="558"/>
      <c r="H214" s="558"/>
      <c r="I214" s="558"/>
      <c r="J214" s="558"/>
      <c r="K214" s="558"/>
      <c r="L214" s="558"/>
      <c r="M214" s="558"/>
      <c r="N214" s="558"/>
      <c r="O214" s="558"/>
      <c r="P214" s="558"/>
      <c r="Q214" s="558"/>
      <c r="R214" s="558"/>
      <c r="S214" s="558"/>
      <c r="T214" s="558"/>
      <c r="U214" s="558"/>
      <c r="V214" s="558"/>
      <c r="W214" s="558"/>
      <c r="X214" s="558"/>
      <c r="Y214" s="558"/>
      <c r="Z214" s="558"/>
      <c r="AA214" s="558"/>
      <c r="AB214" s="558"/>
      <c r="AC214" s="558"/>
      <c r="AD214" s="558"/>
      <c r="AE214" s="558"/>
      <c r="AF214" s="558"/>
      <c r="AG214" s="558"/>
      <c r="AH214" s="558"/>
      <c r="AI214" s="558"/>
    </row>
    <row r="215" spans="2:35">
      <c r="B215" s="558"/>
      <c r="C215" s="558"/>
      <c r="D215" s="558"/>
      <c r="E215" s="558"/>
      <c r="F215" s="558"/>
      <c r="G215" s="558"/>
      <c r="H215" s="558"/>
      <c r="I215" s="558"/>
      <c r="J215" s="558"/>
      <c r="K215" s="558"/>
      <c r="L215" s="558"/>
      <c r="M215" s="558"/>
      <c r="N215" s="558"/>
      <c r="O215" s="558"/>
      <c r="P215" s="558"/>
      <c r="Q215" s="558"/>
      <c r="R215" s="558"/>
      <c r="S215" s="558"/>
      <c r="T215" s="558"/>
      <c r="U215" s="558"/>
      <c r="V215" s="558"/>
      <c r="W215" s="558"/>
      <c r="X215" s="558"/>
      <c r="Y215" s="558"/>
      <c r="Z215" s="558"/>
      <c r="AA215" s="558"/>
      <c r="AB215" s="558"/>
      <c r="AC215" s="558"/>
      <c r="AD215" s="558"/>
      <c r="AE215" s="558"/>
      <c r="AF215" s="558"/>
      <c r="AG215" s="558"/>
      <c r="AH215" s="558"/>
      <c r="AI215" s="558"/>
    </row>
    <row r="216" spans="2:35">
      <c r="B216" s="558"/>
      <c r="C216" s="558"/>
      <c r="D216" s="558"/>
      <c r="E216" s="558"/>
      <c r="F216" s="558"/>
      <c r="G216" s="558"/>
      <c r="H216" s="558"/>
      <c r="I216" s="558"/>
      <c r="J216" s="558"/>
      <c r="K216" s="558"/>
      <c r="L216" s="558"/>
      <c r="M216" s="558"/>
      <c r="N216" s="558"/>
      <c r="O216" s="558"/>
      <c r="P216" s="558"/>
      <c r="Q216" s="558"/>
      <c r="R216" s="558"/>
      <c r="S216" s="558"/>
      <c r="T216" s="558"/>
      <c r="U216" s="558"/>
      <c r="V216" s="558"/>
      <c r="W216" s="558"/>
      <c r="X216" s="558"/>
      <c r="Y216" s="558"/>
      <c r="Z216" s="558"/>
      <c r="AA216" s="558"/>
      <c r="AB216" s="558"/>
      <c r="AC216" s="558"/>
      <c r="AD216" s="558"/>
      <c r="AE216" s="558"/>
      <c r="AF216" s="558"/>
      <c r="AG216" s="558"/>
      <c r="AH216" s="558"/>
      <c r="AI216" s="558"/>
    </row>
    <row r="217" spans="2:35">
      <c r="B217" s="558"/>
      <c r="C217" s="558"/>
      <c r="D217" s="558"/>
      <c r="E217" s="558"/>
      <c r="F217" s="558"/>
      <c r="G217" s="558"/>
      <c r="H217" s="558"/>
      <c r="I217" s="558"/>
      <c r="J217" s="558"/>
      <c r="K217" s="558"/>
      <c r="L217" s="558"/>
      <c r="M217" s="558"/>
      <c r="N217" s="558"/>
      <c r="O217" s="558"/>
      <c r="P217" s="558"/>
      <c r="Q217" s="558"/>
      <c r="R217" s="558"/>
      <c r="S217" s="558"/>
      <c r="T217" s="558"/>
      <c r="U217" s="558"/>
      <c r="V217" s="558"/>
      <c r="W217" s="558"/>
      <c r="X217" s="558"/>
      <c r="Y217" s="558"/>
      <c r="Z217" s="558"/>
      <c r="AA217" s="558"/>
      <c r="AB217" s="558"/>
      <c r="AC217" s="558"/>
      <c r="AD217" s="558"/>
      <c r="AE217" s="558"/>
      <c r="AF217" s="558"/>
      <c r="AG217" s="558"/>
      <c r="AH217" s="558"/>
      <c r="AI217" s="558"/>
    </row>
    <row r="218" spans="2:35">
      <c r="B218" s="558"/>
      <c r="C218" s="558"/>
      <c r="D218" s="558"/>
      <c r="E218" s="558"/>
      <c r="F218" s="558"/>
      <c r="G218" s="558"/>
      <c r="H218" s="558"/>
      <c r="I218" s="558"/>
      <c r="J218" s="558"/>
      <c r="K218" s="558"/>
      <c r="L218" s="558"/>
      <c r="M218" s="558"/>
      <c r="N218" s="558"/>
      <c r="O218" s="558"/>
      <c r="P218" s="558"/>
      <c r="Q218" s="558"/>
      <c r="R218" s="558"/>
      <c r="S218" s="558"/>
      <c r="T218" s="558"/>
      <c r="U218" s="558"/>
      <c r="V218" s="558"/>
      <c r="W218" s="558"/>
      <c r="X218" s="558"/>
      <c r="Y218" s="558"/>
      <c r="Z218" s="558"/>
      <c r="AA218" s="558"/>
      <c r="AB218" s="558"/>
      <c r="AC218" s="558"/>
      <c r="AD218" s="558"/>
      <c r="AE218" s="558"/>
      <c r="AF218" s="558"/>
      <c r="AG218" s="558"/>
      <c r="AH218" s="558"/>
      <c r="AI218" s="558"/>
    </row>
    <row r="219" spans="2:35">
      <c r="B219" s="558"/>
      <c r="C219" s="558"/>
      <c r="D219" s="558"/>
      <c r="E219" s="558"/>
      <c r="F219" s="558"/>
      <c r="G219" s="558"/>
      <c r="H219" s="558"/>
      <c r="I219" s="558"/>
      <c r="J219" s="558"/>
      <c r="K219" s="558"/>
      <c r="L219" s="558"/>
      <c r="M219" s="558"/>
      <c r="N219" s="558"/>
      <c r="O219" s="558"/>
      <c r="P219" s="558"/>
      <c r="Q219" s="558"/>
      <c r="R219" s="558"/>
      <c r="S219" s="558"/>
      <c r="T219" s="558"/>
      <c r="U219" s="558"/>
      <c r="V219" s="558"/>
      <c r="W219" s="558"/>
      <c r="X219" s="558"/>
      <c r="Y219" s="558"/>
      <c r="Z219" s="558"/>
      <c r="AA219" s="558"/>
      <c r="AB219" s="558"/>
      <c r="AC219" s="558"/>
      <c r="AD219" s="558"/>
      <c r="AE219" s="558"/>
      <c r="AF219" s="558"/>
      <c r="AG219" s="558"/>
      <c r="AH219" s="558"/>
      <c r="AI219" s="558"/>
    </row>
    <row r="220" spans="2:35">
      <c r="B220" s="558"/>
      <c r="C220" s="558"/>
      <c r="D220" s="558"/>
      <c r="E220" s="558"/>
      <c r="F220" s="558"/>
      <c r="G220" s="558"/>
      <c r="H220" s="558"/>
      <c r="I220" s="558"/>
      <c r="J220" s="558"/>
      <c r="K220" s="558"/>
      <c r="L220" s="558"/>
      <c r="M220" s="558"/>
      <c r="N220" s="558"/>
      <c r="O220" s="558"/>
      <c r="P220" s="558"/>
      <c r="Q220" s="558"/>
      <c r="R220" s="558"/>
      <c r="S220" s="558"/>
      <c r="T220" s="558"/>
      <c r="U220" s="558"/>
      <c r="V220" s="558"/>
      <c r="W220" s="558"/>
      <c r="X220" s="558"/>
      <c r="Y220" s="558"/>
      <c r="Z220" s="558"/>
      <c r="AA220" s="558"/>
      <c r="AB220" s="558"/>
      <c r="AC220" s="558"/>
      <c r="AD220" s="558"/>
      <c r="AE220" s="558"/>
      <c r="AF220" s="558"/>
      <c r="AG220" s="558"/>
      <c r="AH220" s="558"/>
      <c r="AI220" s="558"/>
    </row>
    <row r="221" spans="2:35">
      <c r="B221" s="558"/>
      <c r="C221" s="558"/>
      <c r="D221" s="558"/>
      <c r="E221" s="558"/>
      <c r="F221" s="558"/>
      <c r="G221" s="558"/>
      <c r="H221" s="558"/>
      <c r="I221" s="558"/>
      <c r="J221" s="558"/>
      <c r="K221" s="558"/>
      <c r="L221" s="558"/>
      <c r="M221" s="558"/>
      <c r="N221" s="558"/>
      <c r="O221" s="558"/>
      <c r="P221" s="558"/>
      <c r="Q221" s="558"/>
      <c r="R221" s="558"/>
      <c r="S221" s="558"/>
      <c r="T221" s="558"/>
      <c r="U221" s="558"/>
      <c r="V221" s="558"/>
      <c r="W221" s="558"/>
      <c r="X221" s="558"/>
      <c r="Y221" s="558"/>
      <c r="Z221" s="558"/>
      <c r="AA221" s="558"/>
      <c r="AB221" s="558"/>
      <c r="AC221" s="558"/>
      <c r="AD221" s="558"/>
      <c r="AE221" s="558"/>
      <c r="AF221" s="558"/>
      <c r="AG221" s="558"/>
      <c r="AH221" s="558"/>
      <c r="AI221" s="558"/>
    </row>
    <row r="222" spans="2:35">
      <c r="B222" s="558"/>
      <c r="C222" s="558"/>
      <c r="D222" s="558"/>
      <c r="E222" s="558"/>
      <c r="F222" s="558"/>
      <c r="G222" s="558"/>
      <c r="H222" s="558"/>
      <c r="I222" s="558"/>
      <c r="J222" s="558"/>
      <c r="K222" s="558"/>
      <c r="L222" s="558"/>
      <c r="M222" s="558"/>
      <c r="N222" s="558"/>
      <c r="O222" s="558"/>
      <c r="P222" s="558"/>
      <c r="Q222" s="558"/>
      <c r="R222" s="558"/>
      <c r="S222" s="558"/>
      <c r="T222" s="558"/>
      <c r="U222" s="558"/>
      <c r="V222" s="558"/>
      <c r="W222" s="558"/>
      <c r="X222" s="558"/>
      <c r="Y222" s="558"/>
      <c r="Z222" s="558"/>
      <c r="AA222" s="558"/>
      <c r="AB222" s="558"/>
      <c r="AC222" s="558"/>
      <c r="AD222" s="558"/>
      <c r="AE222" s="558"/>
      <c r="AF222" s="558"/>
      <c r="AG222" s="558"/>
      <c r="AH222" s="558"/>
      <c r="AI222" s="558"/>
    </row>
    <row r="223" spans="2:35">
      <c r="B223" s="558"/>
      <c r="C223" s="558"/>
      <c r="D223" s="558"/>
      <c r="E223" s="558"/>
      <c r="F223" s="558"/>
      <c r="G223" s="558"/>
      <c r="H223" s="558"/>
      <c r="I223" s="558"/>
      <c r="J223" s="558"/>
      <c r="K223" s="558"/>
      <c r="L223" s="558"/>
      <c r="M223" s="558"/>
      <c r="N223" s="558"/>
      <c r="O223" s="558"/>
      <c r="P223" s="558"/>
      <c r="Q223" s="558"/>
      <c r="R223" s="558"/>
      <c r="S223" s="558"/>
      <c r="T223" s="558"/>
      <c r="U223" s="558"/>
      <c r="V223" s="558"/>
      <c r="W223" s="558"/>
      <c r="X223" s="558"/>
      <c r="Y223" s="558"/>
      <c r="Z223" s="558"/>
      <c r="AA223" s="558"/>
      <c r="AB223" s="558"/>
      <c r="AC223" s="558"/>
      <c r="AD223" s="558"/>
      <c r="AE223" s="558"/>
      <c r="AF223" s="558"/>
      <c r="AG223" s="558"/>
      <c r="AH223" s="558"/>
      <c r="AI223" s="558"/>
    </row>
    <row r="224" spans="2:35">
      <c r="B224" s="558"/>
      <c r="C224" s="558"/>
      <c r="D224" s="558"/>
      <c r="E224" s="558"/>
      <c r="F224" s="558"/>
      <c r="G224" s="558"/>
      <c r="H224" s="558"/>
      <c r="I224" s="558"/>
      <c r="J224" s="558"/>
      <c r="K224" s="558"/>
      <c r="L224" s="558"/>
      <c r="M224" s="558"/>
      <c r="N224" s="558"/>
      <c r="O224" s="558"/>
      <c r="P224" s="558"/>
      <c r="Q224" s="558"/>
      <c r="R224" s="558"/>
      <c r="S224" s="558"/>
      <c r="T224" s="558"/>
      <c r="U224" s="558"/>
      <c r="V224" s="558"/>
      <c r="W224" s="558"/>
      <c r="X224" s="558"/>
      <c r="Y224" s="558"/>
      <c r="Z224" s="558"/>
      <c r="AA224" s="558"/>
      <c r="AB224" s="558"/>
      <c r="AC224" s="558"/>
      <c r="AD224" s="558"/>
      <c r="AE224" s="558"/>
      <c r="AF224" s="558"/>
      <c r="AG224" s="558"/>
      <c r="AH224" s="558"/>
      <c r="AI224" s="558"/>
    </row>
    <row r="225" spans="2:35">
      <c r="B225" s="558"/>
      <c r="C225" s="558"/>
      <c r="D225" s="558"/>
      <c r="E225" s="558"/>
      <c r="F225" s="558"/>
      <c r="G225" s="558"/>
      <c r="H225" s="558"/>
      <c r="I225" s="558"/>
      <c r="J225" s="558"/>
      <c r="K225" s="558"/>
      <c r="L225" s="558"/>
      <c r="M225" s="558"/>
      <c r="N225" s="558"/>
      <c r="O225" s="558"/>
      <c r="P225" s="558"/>
      <c r="Q225" s="558"/>
      <c r="R225" s="558"/>
      <c r="S225" s="558"/>
      <c r="T225" s="558"/>
      <c r="U225" s="558"/>
      <c r="V225" s="558"/>
      <c r="W225" s="558"/>
      <c r="X225" s="558"/>
      <c r="Y225" s="558"/>
      <c r="Z225" s="558"/>
      <c r="AA225" s="558"/>
      <c r="AB225" s="558"/>
      <c r="AC225" s="558"/>
      <c r="AD225" s="558"/>
      <c r="AE225" s="558"/>
      <c r="AF225" s="558"/>
      <c r="AG225" s="558"/>
      <c r="AH225" s="558"/>
      <c r="AI225" s="558"/>
    </row>
    <row r="226" spans="2:35">
      <c r="B226" s="558"/>
      <c r="C226" s="558"/>
      <c r="D226" s="558"/>
      <c r="E226" s="558"/>
      <c r="F226" s="558"/>
      <c r="G226" s="558"/>
      <c r="H226" s="558"/>
      <c r="I226" s="558"/>
      <c r="J226" s="558"/>
      <c r="K226" s="558"/>
      <c r="L226" s="558"/>
      <c r="M226" s="558"/>
      <c r="N226" s="558"/>
      <c r="O226" s="558"/>
      <c r="P226" s="558"/>
      <c r="Q226" s="558"/>
      <c r="R226" s="558"/>
      <c r="S226" s="558"/>
      <c r="T226" s="558"/>
      <c r="U226" s="558"/>
      <c r="V226" s="558"/>
      <c r="W226" s="558"/>
      <c r="X226" s="558"/>
      <c r="Y226" s="558"/>
      <c r="Z226" s="558"/>
      <c r="AA226" s="558"/>
      <c r="AB226" s="558"/>
      <c r="AC226" s="558"/>
      <c r="AD226" s="558"/>
      <c r="AE226" s="558"/>
      <c r="AF226" s="558"/>
      <c r="AG226" s="558"/>
      <c r="AH226" s="558"/>
      <c r="AI226" s="558"/>
    </row>
    <row r="227" spans="2:35">
      <c r="B227" s="558"/>
      <c r="C227" s="558"/>
      <c r="D227" s="558"/>
      <c r="E227" s="558"/>
      <c r="F227" s="558"/>
      <c r="G227" s="558"/>
      <c r="H227" s="558"/>
      <c r="I227" s="558"/>
      <c r="J227" s="558"/>
      <c r="K227" s="558"/>
      <c r="L227" s="558"/>
      <c r="M227" s="558"/>
      <c r="N227" s="558"/>
      <c r="O227" s="558"/>
      <c r="P227" s="558"/>
      <c r="Q227" s="558"/>
      <c r="R227" s="558"/>
      <c r="S227" s="558"/>
      <c r="T227" s="558"/>
      <c r="U227" s="558"/>
      <c r="V227" s="558"/>
      <c r="W227" s="558"/>
      <c r="X227" s="558"/>
      <c r="Y227" s="558"/>
      <c r="Z227" s="558"/>
      <c r="AA227" s="558"/>
      <c r="AB227" s="558"/>
      <c r="AC227" s="558"/>
      <c r="AD227" s="558"/>
      <c r="AE227" s="558"/>
      <c r="AF227" s="558"/>
      <c r="AG227" s="558"/>
      <c r="AH227" s="558"/>
      <c r="AI227" s="558"/>
    </row>
    <row r="228" spans="2:35">
      <c r="B228" s="558"/>
      <c r="C228" s="558"/>
      <c r="D228" s="558"/>
      <c r="E228" s="558"/>
      <c r="F228" s="558"/>
      <c r="G228" s="558"/>
      <c r="H228" s="558"/>
      <c r="I228" s="558"/>
      <c r="J228" s="558"/>
      <c r="K228" s="558"/>
      <c r="L228" s="558"/>
      <c r="M228" s="558"/>
      <c r="N228" s="558"/>
      <c r="O228" s="558"/>
      <c r="P228" s="558"/>
      <c r="Q228" s="558"/>
      <c r="R228" s="558"/>
      <c r="S228" s="558"/>
      <c r="T228" s="558"/>
      <c r="U228" s="558"/>
      <c r="V228" s="558"/>
      <c r="W228" s="558"/>
      <c r="X228" s="558"/>
      <c r="Y228" s="558"/>
      <c r="Z228" s="558"/>
      <c r="AA228" s="558"/>
      <c r="AB228" s="558"/>
      <c r="AC228" s="558"/>
      <c r="AD228" s="558"/>
      <c r="AE228" s="558"/>
      <c r="AF228" s="558"/>
      <c r="AG228" s="558"/>
      <c r="AH228" s="558"/>
      <c r="AI228" s="558"/>
    </row>
    <row r="229" spans="2:35">
      <c r="B229" s="558"/>
      <c r="C229" s="558"/>
      <c r="D229" s="558"/>
      <c r="E229" s="558"/>
      <c r="F229" s="558"/>
      <c r="G229" s="558"/>
      <c r="H229" s="558"/>
      <c r="I229" s="558"/>
      <c r="J229" s="558"/>
      <c r="K229" s="558"/>
      <c r="L229" s="558"/>
      <c r="M229" s="558"/>
      <c r="N229" s="558"/>
      <c r="O229" s="558"/>
      <c r="P229" s="558"/>
      <c r="Q229" s="558"/>
      <c r="R229" s="558"/>
      <c r="S229" s="558"/>
      <c r="T229" s="558"/>
      <c r="U229" s="558"/>
      <c r="V229" s="558"/>
      <c r="W229" s="558"/>
      <c r="X229" s="558"/>
      <c r="Y229" s="558"/>
      <c r="Z229" s="558"/>
      <c r="AA229" s="558"/>
      <c r="AB229" s="558"/>
      <c r="AC229" s="558"/>
      <c r="AD229" s="558"/>
      <c r="AE229" s="558"/>
      <c r="AF229" s="558"/>
      <c r="AG229" s="558"/>
      <c r="AH229" s="558"/>
      <c r="AI229" s="558"/>
    </row>
    <row r="230" spans="2:35">
      <c r="B230" s="558"/>
      <c r="C230" s="558"/>
      <c r="D230" s="558"/>
      <c r="E230" s="558"/>
      <c r="F230" s="558"/>
      <c r="G230" s="558"/>
      <c r="H230" s="558"/>
      <c r="I230" s="558"/>
      <c r="J230" s="558"/>
      <c r="K230" s="558"/>
      <c r="L230" s="558"/>
      <c r="M230" s="558"/>
      <c r="N230" s="558"/>
      <c r="O230" s="558"/>
      <c r="P230" s="558"/>
      <c r="Q230" s="558"/>
      <c r="R230" s="558"/>
      <c r="S230" s="558"/>
      <c r="T230" s="558"/>
      <c r="U230" s="558"/>
      <c r="V230" s="558"/>
      <c r="W230" s="558"/>
      <c r="X230" s="558"/>
      <c r="Y230" s="558"/>
      <c r="Z230" s="558"/>
      <c r="AA230" s="558"/>
      <c r="AB230" s="558"/>
      <c r="AC230" s="558"/>
      <c r="AD230" s="558"/>
      <c r="AE230" s="558"/>
      <c r="AF230" s="558"/>
      <c r="AG230" s="558"/>
      <c r="AH230" s="558"/>
      <c r="AI230" s="558"/>
    </row>
    <row r="231" spans="2:35">
      <c r="B231" s="558"/>
      <c r="C231" s="558"/>
      <c r="D231" s="558"/>
      <c r="E231" s="558"/>
      <c r="F231" s="558"/>
      <c r="G231" s="558"/>
      <c r="H231" s="558"/>
      <c r="I231" s="558"/>
      <c r="J231" s="558"/>
      <c r="K231" s="558"/>
      <c r="L231" s="558"/>
      <c r="M231" s="558"/>
      <c r="N231" s="558"/>
      <c r="O231" s="558"/>
      <c r="P231" s="558"/>
      <c r="Q231" s="558"/>
      <c r="R231" s="558"/>
      <c r="S231" s="558"/>
      <c r="T231" s="558"/>
      <c r="U231" s="558"/>
      <c r="V231" s="558"/>
      <c r="W231" s="558"/>
      <c r="X231" s="558"/>
      <c r="Y231" s="558"/>
      <c r="Z231" s="558"/>
      <c r="AA231" s="558"/>
      <c r="AB231" s="558"/>
      <c r="AC231" s="558"/>
      <c r="AD231" s="558"/>
      <c r="AE231" s="558"/>
      <c r="AF231" s="558"/>
      <c r="AG231" s="558"/>
      <c r="AH231" s="558"/>
      <c r="AI231" s="558"/>
    </row>
    <row r="232" spans="2:35">
      <c r="B232" s="558"/>
      <c r="C232" s="558"/>
      <c r="D232" s="558"/>
      <c r="E232" s="558"/>
      <c r="F232" s="558"/>
      <c r="G232" s="558"/>
      <c r="H232" s="558"/>
      <c r="I232" s="558"/>
      <c r="J232" s="558"/>
      <c r="K232" s="558"/>
      <c r="L232" s="558"/>
      <c r="M232" s="558"/>
      <c r="N232" s="558"/>
      <c r="O232" s="558"/>
      <c r="P232" s="558"/>
      <c r="Q232" s="558"/>
      <c r="R232" s="558"/>
      <c r="S232" s="558"/>
      <c r="T232" s="558"/>
      <c r="U232" s="558"/>
      <c r="V232" s="558"/>
      <c r="W232" s="558"/>
      <c r="X232" s="558"/>
      <c r="Y232" s="558"/>
      <c r="Z232" s="558"/>
      <c r="AA232" s="558"/>
      <c r="AB232" s="558"/>
      <c r="AC232" s="558"/>
      <c r="AD232" s="558"/>
      <c r="AE232" s="558"/>
      <c r="AF232" s="558"/>
      <c r="AG232" s="558"/>
      <c r="AH232" s="558"/>
      <c r="AI232" s="558"/>
    </row>
    <row r="233" spans="2:35">
      <c r="B233" s="558"/>
      <c r="C233" s="558"/>
      <c r="D233" s="558"/>
      <c r="E233" s="558"/>
      <c r="F233" s="558"/>
      <c r="G233" s="558"/>
      <c r="H233" s="558"/>
      <c r="I233" s="558"/>
      <c r="J233" s="558"/>
      <c r="K233" s="558"/>
      <c r="L233" s="558"/>
      <c r="M233" s="558"/>
      <c r="N233" s="558"/>
      <c r="O233" s="558"/>
      <c r="P233" s="558"/>
      <c r="Q233" s="558"/>
      <c r="R233" s="558"/>
      <c r="S233" s="558"/>
      <c r="T233" s="558"/>
      <c r="U233" s="558"/>
      <c r="V233" s="558"/>
      <c r="W233" s="558"/>
      <c r="X233" s="558"/>
      <c r="Y233" s="558"/>
      <c r="Z233" s="558"/>
      <c r="AA233" s="558"/>
      <c r="AB233" s="558"/>
      <c r="AC233" s="558"/>
      <c r="AD233" s="558"/>
      <c r="AE233" s="558"/>
      <c r="AF233" s="558"/>
      <c r="AG233" s="558"/>
      <c r="AH233" s="558"/>
      <c r="AI233" s="558"/>
    </row>
    <row r="234" spans="2:35">
      <c r="B234" s="558"/>
      <c r="C234" s="558"/>
      <c r="D234" s="558"/>
      <c r="E234" s="558"/>
      <c r="F234" s="558"/>
      <c r="G234" s="558"/>
      <c r="H234" s="558"/>
      <c r="I234" s="558"/>
      <c r="J234" s="558"/>
      <c r="K234" s="558"/>
      <c r="L234" s="558"/>
      <c r="M234" s="558"/>
      <c r="N234" s="558"/>
      <c r="O234" s="558"/>
      <c r="P234" s="558"/>
      <c r="Q234" s="558"/>
      <c r="R234" s="558"/>
      <c r="S234" s="558"/>
      <c r="T234" s="558"/>
      <c r="U234" s="558"/>
      <c r="V234" s="558"/>
      <c r="W234" s="558"/>
      <c r="X234" s="558"/>
      <c r="Y234" s="558"/>
      <c r="Z234" s="558"/>
      <c r="AA234" s="558"/>
      <c r="AB234" s="558"/>
      <c r="AC234" s="558"/>
      <c r="AD234" s="558"/>
      <c r="AE234" s="558"/>
      <c r="AF234" s="558"/>
      <c r="AG234" s="558"/>
      <c r="AH234" s="558"/>
      <c r="AI234" s="558"/>
    </row>
    <row r="235" spans="2:35">
      <c r="B235" s="558"/>
      <c r="C235" s="558"/>
      <c r="D235" s="558"/>
      <c r="E235" s="558"/>
      <c r="F235" s="558"/>
      <c r="G235" s="558"/>
      <c r="H235" s="558"/>
      <c r="I235" s="558"/>
      <c r="J235" s="558"/>
      <c r="K235" s="558"/>
      <c r="L235" s="558"/>
      <c r="M235" s="558"/>
      <c r="N235" s="558"/>
      <c r="O235" s="558"/>
      <c r="P235" s="558"/>
      <c r="Q235" s="558"/>
      <c r="R235" s="558"/>
      <c r="S235" s="558"/>
      <c r="T235" s="558"/>
      <c r="U235" s="558"/>
      <c r="V235" s="558"/>
      <c r="W235" s="558"/>
      <c r="X235" s="558"/>
      <c r="Y235" s="558"/>
      <c r="Z235" s="558"/>
      <c r="AA235" s="558"/>
      <c r="AB235" s="558"/>
      <c r="AC235" s="558"/>
      <c r="AD235" s="558"/>
      <c r="AE235" s="558"/>
      <c r="AF235" s="558"/>
      <c r="AG235" s="558"/>
      <c r="AH235" s="558"/>
      <c r="AI235" s="558"/>
    </row>
    <row r="236" spans="2:35">
      <c r="B236" s="558"/>
      <c r="C236" s="558"/>
      <c r="D236" s="558"/>
      <c r="E236" s="558"/>
      <c r="F236" s="558"/>
      <c r="G236" s="558"/>
      <c r="H236" s="558"/>
      <c r="I236" s="558"/>
      <c r="J236" s="558"/>
      <c r="K236" s="558"/>
      <c r="L236" s="558"/>
      <c r="M236" s="558"/>
      <c r="N236" s="558"/>
      <c r="O236" s="558"/>
      <c r="P236" s="558"/>
      <c r="Q236" s="558"/>
      <c r="R236" s="558"/>
      <c r="S236" s="558"/>
      <c r="T236" s="558"/>
      <c r="U236" s="558"/>
      <c r="V236" s="558"/>
      <c r="W236" s="558"/>
      <c r="X236" s="558"/>
      <c r="Y236" s="558"/>
      <c r="Z236" s="558"/>
      <c r="AA236" s="558"/>
      <c r="AB236" s="558"/>
      <c r="AC236" s="558"/>
      <c r="AD236" s="558"/>
      <c r="AE236" s="558"/>
      <c r="AF236" s="558"/>
      <c r="AG236" s="558"/>
      <c r="AH236" s="558"/>
      <c r="AI236" s="558"/>
    </row>
    <row r="237" spans="2:35">
      <c r="B237" s="558"/>
      <c r="C237" s="558"/>
      <c r="D237" s="558"/>
      <c r="E237" s="558"/>
      <c r="F237" s="558"/>
      <c r="G237" s="558"/>
      <c r="H237" s="558"/>
      <c r="I237" s="558"/>
      <c r="J237" s="558"/>
      <c r="K237" s="558"/>
      <c r="L237" s="558"/>
      <c r="M237" s="558"/>
      <c r="N237" s="558"/>
      <c r="O237" s="558"/>
      <c r="P237" s="558"/>
      <c r="Q237" s="558"/>
      <c r="R237" s="558"/>
      <c r="S237" s="558"/>
      <c r="T237" s="558"/>
      <c r="U237" s="558"/>
      <c r="V237" s="558"/>
      <c r="W237" s="558"/>
      <c r="X237" s="558"/>
      <c r="Y237" s="558"/>
      <c r="Z237" s="558"/>
      <c r="AA237" s="558"/>
      <c r="AB237" s="558"/>
      <c r="AC237" s="558"/>
      <c r="AD237" s="558"/>
      <c r="AE237" s="558"/>
      <c r="AF237" s="558"/>
      <c r="AG237" s="558"/>
      <c r="AH237" s="558"/>
      <c r="AI237" s="558"/>
    </row>
    <row r="238" spans="2:35">
      <c r="B238" s="558"/>
      <c r="C238" s="558"/>
      <c r="D238" s="558"/>
      <c r="E238" s="558"/>
      <c r="F238" s="558"/>
      <c r="G238" s="558"/>
      <c r="H238" s="558"/>
      <c r="I238" s="558"/>
      <c r="J238" s="558"/>
      <c r="K238" s="558"/>
      <c r="L238" s="558"/>
      <c r="M238" s="558"/>
      <c r="N238" s="558"/>
      <c r="O238" s="558"/>
      <c r="P238" s="558"/>
      <c r="Q238" s="558"/>
      <c r="R238" s="558"/>
      <c r="S238" s="558"/>
      <c r="T238" s="558"/>
      <c r="U238" s="558"/>
      <c r="V238" s="558"/>
      <c r="W238" s="558"/>
      <c r="X238" s="558"/>
      <c r="Y238" s="558"/>
      <c r="Z238" s="558"/>
      <c r="AA238" s="558"/>
      <c r="AB238" s="558"/>
      <c r="AC238" s="558"/>
      <c r="AD238" s="558"/>
      <c r="AE238" s="558"/>
      <c r="AF238" s="558"/>
      <c r="AG238" s="558"/>
      <c r="AH238" s="558"/>
      <c r="AI238" s="558"/>
    </row>
    <row r="239" spans="2:35">
      <c r="B239" s="558"/>
      <c r="C239" s="558"/>
      <c r="D239" s="558"/>
      <c r="E239" s="558"/>
      <c r="F239" s="558"/>
      <c r="G239" s="558"/>
      <c r="H239" s="558"/>
      <c r="I239" s="558"/>
      <c r="J239" s="558"/>
      <c r="K239" s="558"/>
      <c r="L239" s="558"/>
      <c r="M239" s="558"/>
      <c r="N239" s="558"/>
      <c r="O239" s="558"/>
      <c r="P239" s="558"/>
      <c r="Q239" s="558"/>
      <c r="R239" s="558"/>
      <c r="S239" s="558"/>
      <c r="T239" s="558"/>
      <c r="U239" s="558"/>
      <c r="V239" s="558"/>
      <c r="W239" s="558"/>
      <c r="X239" s="558"/>
      <c r="Y239" s="558"/>
      <c r="Z239" s="558"/>
      <c r="AA239" s="558"/>
      <c r="AB239" s="558"/>
      <c r="AC239" s="558"/>
      <c r="AD239" s="558"/>
      <c r="AE239" s="558"/>
      <c r="AF239" s="558"/>
      <c r="AG239" s="558"/>
      <c r="AH239" s="558"/>
      <c r="AI239" s="558"/>
    </row>
    <row r="240" spans="2:35">
      <c r="B240" s="558"/>
      <c r="C240" s="558"/>
      <c r="D240" s="558"/>
      <c r="E240" s="558"/>
      <c r="F240" s="558"/>
      <c r="G240" s="558"/>
      <c r="H240" s="558"/>
      <c r="I240" s="558"/>
      <c r="J240" s="558"/>
      <c r="K240" s="558"/>
      <c r="L240" s="558"/>
      <c r="M240" s="558"/>
      <c r="N240" s="558"/>
      <c r="O240" s="558"/>
      <c r="P240" s="558"/>
      <c r="Q240" s="558"/>
      <c r="R240" s="558"/>
      <c r="S240" s="558"/>
      <c r="T240" s="558"/>
      <c r="U240" s="558"/>
      <c r="V240" s="558"/>
      <c r="W240" s="558"/>
      <c r="X240" s="558"/>
      <c r="Y240" s="558"/>
      <c r="Z240" s="558"/>
      <c r="AA240" s="558"/>
      <c r="AB240" s="558"/>
      <c r="AC240" s="558"/>
      <c r="AD240" s="558"/>
      <c r="AE240" s="558"/>
      <c r="AF240" s="558"/>
      <c r="AG240" s="558"/>
      <c r="AH240" s="558"/>
      <c r="AI240" s="558"/>
    </row>
    <row r="241" spans="2:35">
      <c r="B241" s="558"/>
      <c r="C241" s="558"/>
      <c r="D241" s="558"/>
      <c r="E241" s="558"/>
      <c r="F241" s="558"/>
      <c r="G241" s="558"/>
      <c r="H241" s="558"/>
      <c r="I241" s="558"/>
      <c r="J241" s="558"/>
      <c r="K241" s="558"/>
      <c r="L241" s="558"/>
      <c r="M241" s="558"/>
      <c r="N241" s="558"/>
      <c r="O241" s="558"/>
      <c r="P241" s="558"/>
      <c r="Q241" s="558"/>
      <c r="R241" s="558"/>
      <c r="S241" s="558"/>
      <c r="T241" s="558"/>
      <c r="U241" s="558"/>
      <c r="V241" s="558"/>
      <c r="W241" s="558"/>
      <c r="X241" s="558"/>
      <c r="Y241" s="558"/>
      <c r="Z241" s="558"/>
      <c r="AA241" s="558"/>
      <c r="AB241" s="558"/>
      <c r="AC241" s="558"/>
      <c r="AD241" s="558"/>
      <c r="AE241" s="558"/>
      <c r="AF241" s="558"/>
      <c r="AG241" s="558"/>
      <c r="AH241" s="558"/>
      <c r="AI241" s="558"/>
    </row>
    <row r="242" spans="2:35">
      <c r="B242" s="558"/>
      <c r="C242" s="558"/>
      <c r="D242" s="558"/>
      <c r="E242" s="558"/>
      <c r="F242" s="558"/>
      <c r="G242" s="558"/>
      <c r="H242" s="558"/>
      <c r="I242" s="558"/>
      <c r="J242" s="558"/>
      <c r="K242" s="558"/>
      <c r="L242" s="558"/>
      <c r="M242" s="558"/>
      <c r="N242" s="558"/>
      <c r="O242" s="558"/>
      <c r="P242" s="558"/>
      <c r="Q242" s="558"/>
      <c r="R242" s="558"/>
      <c r="S242" s="558"/>
      <c r="T242" s="558"/>
      <c r="U242" s="558"/>
      <c r="V242" s="558"/>
      <c r="W242" s="558"/>
      <c r="X242" s="558"/>
      <c r="Y242" s="558"/>
      <c r="Z242" s="558"/>
      <c r="AA242" s="558"/>
      <c r="AB242" s="558"/>
      <c r="AC242" s="558"/>
      <c r="AD242" s="558"/>
      <c r="AE242" s="558"/>
      <c r="AF242" s="558"/>
      <c r="AG242" s="558"/>
      <c r="AH242" s="558"/>
      <c r="AI242" s="558"/>
    </row>
    <row r="243" spans="2:35">
      <c r="B243" s="558"/>
      <c r="C243" s="558"/>
      <c r="D243" s="558"/>
      <c r="E243" s="558"/>
      <c r="F243" s="558"/>
      <c r="G243" s="558"/>
      <c r="H243" s="558"/>
      <c r="I243" s="558"/>
      <c r="J243" s="558"/>
      <c r="K243" s="558"/>
      <c r="L243" s="558"/>
      <c r="M243" s="558"/>
      <c r="N243" s="558"/>
      <c r="O243" s="558"/>
      <c r="P243" s="558"/>
      <c r="Q243" s="558"/>
      <c r="R243" s="558"/>
      <c r="S243" s="558"/>
      <c r="T243" s="558"/>
      <c r="U243" s="558"/>
      <c r="V243" s="558"/>
      <c r="W243" s="558"/>
      <c r="X243" s="558"/>
      <c r="Y243" s="558"/>
      <c r="Z243" s="558"/>
      <c r="AA243" s="558"/>
      <c r="AB243" s="558"/>
      <c r="AC243" s="558"/>
      <c r="AD243" s="558"/>
      <c r="AE243" s="558"/>
      <c r="AF243" s="558"/>
      <c r="AG243" s="558"/>
      <c r="AH243" s="558"/>
      <c r="AI243" s="558"/>
    </row>
    <row r="244" spans="2:35">
      <c r="B244" s="558"/>
      <c r="C244" s="558"/>
      <c r="D244" s="558"/>
      <c r="E244" s="558"/>
      <c r="F244" s="558"/>
      <c r="G244" s="558"/>
      <c r="H244" s="558"/>
      <c r="I244" s="558"/>
      <c r="J244" s="558"/>
      <c r="K244" s="558"/>
      <c r="L244" s="558"/>
      <c r="M244" s="558"/>
      <c r="N244" s="558"/>
      <c r="O244" s="558"/>
      <c r="P244" s="558"/>
      <c r="Q244" s="558"/>
      <c r="R244" s="558"/>
      <c r="S244" s="558"/>
      <c r="T244" s="558"/>
      <c r="U244" s="558"/>
      <c r="V244" s="558"/>
      <c r="W244" s="558"/>
      <c r="X244" s="558"/>
      <c r="Y244" s="558"/>
      <c r="Z244" s="558"/>
      <c r="AA244" s="558"/>
      <c r="AB244" s="558"/>
      <c r="AC244" s="558"/>
      <c r="AD244" s="558"/>
      <c r="AE244" s="558"/>
      <c r="AF244" s="558"/>
      <c r="AG244" s="558"/>
      <c r="AH244" s="558"/>
      <c r="AI244" s="558"/>
    </row>
    <row r="245" spans="2:35">
      <c r="B245" s="558"/>
      <c r="C245" s="558"/>
      <c r="D245" s="558"/>
      <c r="E245" s="558"/>
      <c r="F245" s="558"/>
      <c r="G245" s="558"/>
      <c r="H245" s="558"/>
      <c r="I245" s="558"/>
      <c r="J245" s="558"/>
      <c r="K245" s="558"/>
      <c r="L245" s="558"/>
      <c r="M245" s="558"/>
      <c r="N245" s="558"/>
      <c r="O245" s="558"/>
      <c r="P245" s="558"/>
      <c r="Q245" s="558"/>
      <c r="R245" s="558"/>
      <c r="S245" s="558"/>
      <c r="T245" s="558"/>
      <c r="U245" s="558"/>
      <c r="V245" s="558"/>
      <c r="W245" s="558"/>
      <c r="X245" s="558"/>
      <c r="Y245" s="558"/>
      <c r="Z245" s="558"/>
      <c r="AA245" s="558"/>
      <c r="AB245" s="558"/>
      <c r="AC245" s="558"/>
      <c r="AD245" s="558"/>
      <c r="AE245" s="558"/>
      <c r="AF245" s="558"/>
      <c r="AG245" s="558"/>
      <c r="AH245" s="558"/>
      <c r="AI245" s="558"/>
    </row>
    <row r="246" spans="2:35">
      <c r="B246" s="558"/>
      <c r="C246" s="558"/>
      <c r="D246" s="558"/>
      <c r="E246" s="558"/>
      <c r="F246" s="558"/>
      <c r="G246" s="558"/>
      <c r="H246" s="558"/>
      <c r="I246" s="558"/>
      <c r="J246" s="558"/>
      <c r="K246" s="558"/>
      <c r="L246" s="558"/>
      <c r="M246" s="558"/>
      <c r="N246" s="558"/>
      <c r="O246" s="558"/>
      <c r="P246" s="558"/>
      <c r="Q246" s="558"/>
      <c r="R246" s="558"/>
      <c r="S246" s="558"/>
      <c r="T246" s="558"/>
      <c r="U246" s="558"/>
      <c r="V246" s="558"/>
      <c r="W246" s="558"/>
      <c r="X246" s="558"/>
      <c r="Y246" s="558"/>
      <c r="Z246" s="558"/>
      <c r="AA246" s="558"/>
      <c r="AB246" s="558"/>
      <c r="AC246" s="558"/>
      <c r="AD246" s="558"/>
      <c r="AE246" s="558"/>
      <c r="AF246" s="558"/>
      <c r="AG246" s="558"/>
      <c r="AH246" s="558"/>
      <c r="AI246" s="558"/>
    </row>
    <row r="247" spans="2:35">
      <c r="B247" s="558"/>
      <c r="C247" s="558"/>
      <c r="D247" s="558"/>
      <c r="E247" s="558"/>
      <c r="F247" s="558"/>
      <c r="G247" s="558"/>
      <c r="H247" s="558"/>
      <c r="I247" s="558"/>
      <c r="J247" s="558"/>
      <c r="K247" s="558"/>
      <c r="L247" s="558"/>
      <c r="M247" s="558"/>
      <c r="N247" s="558"/>
      <c r="O247" s="558"/>
      <c r="P247" s="558"/>
      <c r="Q247" s="558"/>
      <c r="R247" s="558"/>
      <c r="S247" s="558"/>
      <c r="T247" s="558"/>
      <c r="U247" s="558"/>
      <c r="V247" s="558"/>
      <c r="W247" s="558"/>
      <c r="X247" s="558"/>
      <c r="Y247" s="558"/>
      <c r="Z247" s="558"/>
      <c r="AA247" s="558"/>
      <c r="AB247" s="558"/>
      <c r="AC247" s="558"/>
      <c r="AD247" s="558"/>
      <c r="AE247" s="558"/>
      <c r="AF247" s="558"/>
      <c r="AG247" s="558"/>
      <c r="AH247" s="558"/>
      <c r="AI247" s="558"/>
    </row>
    <row r="248" spans="2:35">
      <c r="B248" s="558"/>
      <c r="C248" s="558"/>
      <c r="D248" s="558"/>
      <c r="E248" s="558"/>
      <c r="F248" s="558"/>
      <c r="G248" s="558"/>
      <c r="H248" s="558"/>
      <c r="I248" s="558"/>
      <c r="J248" s="558"/>
      <c r="K248" s="558"/>
      <c r="L248" s="558"/>
      <c r="M248" s="558"/>
      <c r="N248" s="558"/>
      <c r="O248" s="558"/>
      <c r="P248" s="558"/>
      <c r="Q248" s="558"/>
      <c r="R248" s="558"/>
      <c r="S248" s="558"/>
      <c r="T248" s="558"/>
      <c r="U248" s="558"/>
      <c r="V248" s="558"/>
      <c r="W248" s="558"/>
      <c r="X248" s="558"/>
      <c r="Y248" s="558"/>
      <c r="Z248" s="558"/>
      <c r="AA248" s="558"/>
      <c r="AB248" s="558"/>
      <c r="AC248" s="558"/>
      <c r="AD248" s="558"/>
      <c r="AE248" s="558"/>
      <c r="AF248" s="558"/>
      <c r="AG248" s="558"/>
      <c r="AH248" s="558"/>
      <c r="AI248" s="558"/>
    </row>
    <row r="249" spans="2:35">
      <c r="B249" s="558"/>
      <c r="C249" s="558"/>
      <c r="D249" s="558"/>
      <c r="E249" s="558"/>
      <c r="F249" s="558"/>
      <c r="G249" s="558"/>
      <c r="H249" s="558"/>
      <c r="I249" s="558"/>
      <c r="J249" s="558"/>
      <c r="K249" s="558"/>
      <c r="L249" s="558"/>
      <c r="M249" s="558"/>
      <c r="N249" s="558"/>
      <c r="O249" s="558"/>
      <c r="P249" s="558"/>
      <c r="Q249" s="558"/>
      <c r="R249" s="558"/>
      <c r="S249" s="558"/>
      <c r="T249" s="558"/>
      <c r="U249" s="558"/>
      <c r="V249" s="558"/>
      <c r="W249" s="558"/>
      <c r="X249" s="558"/>
      <c r="Y249" s="558"/>
      <c r="Z249" s="558"/>
      <c r="AA249" s="558"/>
      <c r="AB249" s="558"/>
      <c r="AC249" s="558"/>
      <c r="AD249" s="558"/>
      <c r="AE249" s="558"/>
      <c r="AF249" s="558"/>
      <c r="AG249" s="558"/>
      <c r="AH249" s="558"/>
      <c r="AI249" s="558"/>
    </row>
    <row r="250" spans="2:35">
      <c r="B250" s="558"/>
      <c r="C250" s="558"/>
      <c r="D250" s="558"/>
      <c r="E250" s="558"/>
      <c r="F250" s="558"/>
      <c r="G250" s="558"/>
      <c r="H250" s="558"/>
      <c r="I250" s="558"/>
      <c r="J250" s="558"/>
      <c r="K250" s="558"/>
      <c r="L250" s="558"/>
      <c r="M250" s="558"/>
      <c r="N250" s="558"/>
      <c r="O250" s="558"/>
      <c r="P250" s="558"/>
      <c r="Q250" s="558"/>
      <c r="R250" s="558"/>
      <c r="S250" s="558"/>
      <c r="T250" s="558"/>
      <c r="U250" s="558"/>
      <c r="V250" s="558"/>
      <c r="W250" s="558"/>
      <c r="X250" s="558"/>
      <c r="Y250" s="558"/>
      <c r="Z250" s="558"/>
      <c r="AA250" s="558"/>
      <c r="AB250" s="558"/>
      <c r="AC250" s="558"/>
      <c r="AD250" s="558"/>
      <c r="AE250" s="558"/>
      <c r="AF250" s="558"/>
      <c r="AG250" s="558"/>
      <c r="AH250" s="558"/>
      <c r="AI250" s="558"/>
    </row>
    <row r="251" spans="2:35">
      <c r="B251" s="558"/>
      <c r="C251" s="558"/>
      <c r="D251" s="558"/>
      <c r="E251" s="558"/>
      <c r="F251" s="558"/>
      <c r="G251" s="558"/>
      <c r="H251" s="558"/>
      <c r="I251" s="558"/>
      <c r="J251" s="558"/>
      <c r="K251" s="558"/>
      <c r="L251" s="558"/>
      <c r="M251" s="558"/>
      <c r="N251" s="558"/>
      <c r="O251" s="558"/>
      <c r="P251" s="558"/>
      <c r="Q251" s="558"/>
      <c r="R251" s="558"/>
      <c r="S251" s="558"/>
      <c r="T251" s="558"/>
      <c r="U251" s="558"/>
      <c r="V251" s="558"/>
      <c r="W251" s="558"/>
      <c r="X251" s="558"/>
      <c r="Y251" s="558"/>
      <c r="Z251" s="558"/>
      <c r="AA251" s="558"/>
      <c r="AB251" s="558"/>
      <c r="AC251" s="558"/>
      <c r="AD251" s="558"/>
      <c r="AE251" s="558"/>
      <c r="AF251" s="558"/>
      <c r="AG251" s="558"/>
      <c r="AH251" s="558"/>
      <c r="AI251" s="558"/>
    </row>
    <row r="252" spans="2:35">
      <c r="B252" s="558"/>
      <c r="C252" s="558"/>
      <c r="D252" s="558"/>
      <c r="E252" s="558"/>
      <c r="F252" s="558"/>
      <c r="G252" s="558"/>
      <c r="H252" s="558"/>
      <c r="I252" s="558"/>
      <c r="J252" s="558"/>
      <c r="K252" s="558"/>
      <c r="L252" s="558"/>
      <c r="M252" s="558"/>
      <c r="N252" s="558"/>
      <c r="O252" s="558"/>
      <c r="P252" s="558"/>
      <c r="Q252" s="558"/>
      <c r="R252" s="558"/>
      <c r="S252" s="558"/>
      <c r="T252" s="558"/>
      <c r="U252" s="558"/>
      <c r="V252" s="558"/>
      <c r="W252" s="558"/>
      <c r="X252" s="558"/>
      <c r="Y252" s="558"/>
      <c r="Z252" s="558"/>
      <c r="AA252" s="558"/>
      <c r="AB252" s="558"/>
      <c r="AC252" s="558"/>
      <c r="AD252" s="558"/>
      <c r="AE252" s="558"/>
      <c r="AF252" s="558"/>
      <c r="AG252" s="558"/>
      <c r="AH252" s="558"/>
      <c r="AI252" s="558"/>
    </row>
    <row r="253" spans="2:35">
      <c r="B253" s="558"/>
      <c r="C253" s="558"/>
      <c r="D253" s="558"/>
      <c r="E253" s="558"/>
      <c r="F253" s="558"/>
      <c r="G253" s="558"/>
      <c r="H253" s="558"/>
      <c r="I253" s="558"/>
      <c r="J253" s="558"/>
      <c r="K253" s="558"/>
      <c r="L253" s="558"/>
      <c r="M253" s="558"/>
      <c r="N253" s="558"/>
      <c r="O253" s="558"/>
      <c r="P253" s="558"/>
      <c r="Q253" s="558"/>
      <c r="R253" s="558"/>
      <c r="S253" s="558"/>
      <c r="T253" s="558"/>
      <c r="U253" s="558"/>
      <c r="V253" s="558"/>
      <c r="W253" s="558"/>
      <c r="X253" s="558"/>
      <c r="Y253" s="558"/>
      <c r="Z253" s="558"/>
      <c r="AA253" s="558"/>
      <c r="AB253" s="558"/>
      <c r="AC253" s="558"/>
      <c r="AD253" s="558"/>
      <c r="AE253" s="558"/>
      <c r="AF253" s="558"/>
      <c r="AG253" s="558"/>
      <c r="AH253" s="558"/>
      <c r="AI253" s="558"/>
    </row>
    <row r="254" spans="2:35">
      <c r="B254" s="558"/>
      <c r="C254" s="558"/>
      <c r="D254" s="558"/>
      <c r="E254" s="558"/>
      <c r="F254" s="558"/>
      <c r="G254" s="558"/>
      <c r="H254" s="558"/>
      <c r="I254" s="558"/>
      <c r="J254" s="558"/>
      <c r="K254" s="558"/>
      <c r="L254" s="558"/>
      <c r="M254" s="558"/>
      <c r="N254" s="558"/>
      <c r="O254" s="558"/>
      <c r="P254" s="558"/>
      <c r="Q254" s="558"/>
      <c r="R254" s="558"/>
      <c r="S254" s="558"/>
      <c r="T254" s="558"/>
      <c r="U254" s="558"/>
      <c r="V254" s="558"/>
      <c r="W254" s="558"/>
      <c r="X254" s="558"/>
      <c r="Y254" s="558"/>
      <c r="Z254" s="558"/>
      <c r="AA254" s="558"/>
      <c r="AB254" s="558"/>
      <c r="AC254" s="558"/>
      <c r="AD254" s="558"/>
      <c r="AE254" s="558"/>
      <c r="AF254" s="558"/>
      <c r="AG254" s="558"/>
      <c r="AH254" s="558"/>
      <c r="AI254" s="558"/>
    </row>
    <row r="255" spans="2:35">
      <c r="B255" s="558"/>
      <c r="C255" s="558"/>
      <c r="D255" s="558"/>
      <c r="E255" s="558"/>
      <c r="F255" s="558"/>
      <c r="G255" s="558"/>
      <c r="H255" s="558"/>
      <c r="I255" s="558"/>
      <c r="J255" s="558"/>
      <c r="K255" s="558"/>
      <c r="L255" s="558"/>
      <c r="M255" s="558"/>
      <c r="N255" s="558"/>
      <c r="O255" s="558"/>
      <c r="P255" s="558"/>
      <c r="Q255" s="558"/>
      <c r="R255" s="558"/>
      <c r="S255" s="558"/>
      <c r="T255" s="558"/>
      <c r="U255" s="558"/>
      <c r="V255" s="558"/>
      <c r="W255" s="558"/>
      <c r="X255" s="558"/>
      <c r="Y255" s="558"/>
      <c r="Z255" s="558"/>
      <c r="AA255" s="558"/>
      <c r="AB255" s="558"/>
      <c r="AC255" s="558"/>
      <c r="AD255" s="558"/>
      <c r="AE255" s="558"/>
      <c r="AF255" s="558"/>
      <c r="AG255" s="558"/>
      <c r="AH255" s="558"/>
      <c r="AI255" s="558"/>
    </row>
    <row r="256" spans="2:35">
      <c r="B256" s="558"/>
      <c r="C256" s="558"/>
      <c r="D256" s="558"/>
      <c r="E256" s="558"/>
      <c r="F256" s="558"/>
      <c r="G256" s="558"/>
      <c r="H256" s="558"/>
      <c r="I256" s="558"/>
      <c r="J256" s="558"/>
      <c r="K256" s="558"/>
      <c r="L256" s="558"/>
      <c r="M256" s="558"/>
      <c r="N256" s="558"/>
      <c r="O256" s="558"/>
      <c r="P256" s="558"/>
      <c r="Q256" s="558"/>
      <c r="R256" s="558"/>
      <c r="S256" s="558"/>
      <c r="T256" s="558"/>
      <c r="U256" s="558"/>
      <c r="V256" s="558"/>
      <c r="W256" s="558"/>
      <c r="X256" s="558"/>
      <c r="Y256" s="558"/>
      <c r="Z256" s="558"/>
      <c r="AA256" s="558"/>
      <c r="AB256" s="558"/>
      <c r="AC256" s="558"/>
      <c r="AD256" s="558"/>
      <c r="AE256" s="558"/>
      <c r="AF256" s="558"/>
      <c r="AG256" s="558"/>
      <c r="AH256" s="558"/>
      <c r="AI256" s="558"/>
    </row>
    <row r="257" spans="2:35">
      <c r="B257" s="558"/>
      <c r="C257" s="558"/>
      <c r="D257" s="558"/>
      <c r="E257" s="558"/>
      <c r="F257" s="558"/>
      <c r="G257" s="558"/>
      <c r="H257" s="558"/>
      <c r="I257" s="558"/>
      <c r="J257" s="558"/>
      <c r="K257" s="558"/>
      <c r="L257" s="558"/>
      <c r="M257" s="558"/>
      <c r="N257" s="558"/>
      <c r="O257" s="558"/>
      <c r="P257" s="558"/>
      <c r="Q257" s="558"/>
      <c r="R257" s="558"/>
      <c r="S257" s="558"/>
      <c r="T257" s="558"/>
      <c r="U257" s="558"/>
      <c r="V257" s="558"/>
      <c r="W257" s="558"/>
      <c r="X257" s="558"/>
      <c r="Y257" s="558"/>
      <c r="Z257" s="558"/>
      <c r="AA257" s="558"/>
      <c r="AB257" s="558"/>
      <c r="AC257" s="558"/>
      <c r="AD257" s="558"/>
      <c r="AE257" s="558"/>
      <c r="AF257" s="558"/>
      <c r="AG257" s="558"/>
      <c r="AH257" s="558"/>
      <c r="AI257" s="558"/>
    </row>
    <row r="258" spans="2:35">
      <c r="B258" s="558"/>
      <c r="C258" s="558"/>
      <c r="D258" s="558"/>
      <c r="E258" s="558"/>
      <c r="F258" s="558"/>
      <c r="G258" s="558"/>
      <c r="H258" s="558"/>
      <c r="I258" s="558"/>
      <c r="J258" s="558"/>
      <c r="K258" s="558"/>
      <c r="L258" s="558"/>
      <c r="M258" s="558"/>
      <c r="N258" s="558"/>
      <c r="O258" s="558"/>
      <c r="P258" s="558"/>
      <c r="Q258" s="558"/>
      <c r="R258" s="558"/>
      <c r="S258" s="558"/>
      <c r="T258" s="558"/>
      <c r="U258" s="558"/>
      <c r="V258" s="558"/>
      <c r="W258" s="558"/>
      <c r="X258" s="558"/>
      <c r="Y258" s="558"/>
      <c r="Z258" s="558"/>
      <c r="AA258" s="558"/>
      <c r="AB258" s="558"/>
      <c r="AC258" s="558"/>
      <c r="AD258" s="558"/>
      <c r="AE258" s="558"/>
      <c r="AF258" s="558"/>
      <c r="AG258" s="558"/>
      <c r="AH258" s="558"/>
      <c r="AI258" s="558"/>
    </row>
    <row r="259" spans="2:35">
      <c r="B259" s="558"/>
      <c r="C259" s="558"/>
      <c r="D259" s="558"/>
      <c r="E259" s="558"/>
      <c r="F259" s="558"/>
      <c r="G259" s="558"/>
      <c r="H259" s="558"/>
      <c r="I259" s="558"/>
      <c r="J259" s="558"/>
      <c r="K259" s="558"/>
      <c r="L259" s="558"/>
      <c r="M259" s="558"/>
      <c r="N259" s="558"/>
      <c r="O259" s="558"/>
      <c r="P259" s="558"/>
      <c r="Q259" s="558"/>
      <c r="R259" s="558"/>
      <c r="S259" s="558"/>
      <c r="T259" s="558"/>
      <c r="U259" s="558"/>
      <c r="V259" s="558"/>
      <c r="W259" s="558"/>
      <c r="X259" s="558"/>
      <c r="Y259" s="558"/>
      <c r="Z259" s="558"/>
      <c r="AA259" s="558"/>
      <c r="AB259" s="558"/>
      <c r="AC259" s="558"/>
      <c r="AD259" s="558"/>
      <c r="AE259" s="558"/>
      <c r="AF259" s="558"/>
      <c r="AG259" s="558"/>
      <c r="AH259" s="558"/>
      <c r="AI259" s="558"/>
    </row>
    <row r="260" spans="2:35">
      <c r="B260" s="558"/>
      <c r="C260" s="558"/>
      <c r="D260" s="558"/>
      <c r="E260" s="558"/>
      <c r="F260" s="558"/>
      <c r="G260" s="558"/>
      <c r="H260" s="558"/>
      <c r="I260" s="558"/>
      <c r="J260" s="558"/>
      <c r="K260" s="558"/>
      <c r="L260" s="558"/>
      <c r="M260" s="558"/>
      <c r="N260" s="558"/>
      <c r="O260" s="558"/>
      <c r="P260" s="558"/>
      <c r="Q260" s="558"/>
      <c r="R260" s="558"/>
      <c r="S260" s="558"/>
      <c r="T260" s="558"/>
      <c r="U260" s="558"/>
      <c r="V260" s="558"/>
      <c r="W260" s="558"/>
      <c r="X260" s="558"/>
      <c r="Y260" s="558"/>
      <c r="Z260" s="558"/>
      <c r="AA260" s="558"/>
      <c r="AB260" s="558"/>
      <c r="AC260" s="558"/>
      <c r="AD260" s="558"/>
      <c r="AE260" s="558"/>
      <c r="AF260" s="558"/>
      <c r="AG260" s="558"/>
      <c r="AH260" s="558"/>
      <c r="AI260" s="558"/>
    </row>
    <row r="261" spans="2:35">
      <c r="B261" s="558"/>
      <c r="C261" s="558"/>
      <c r="D261" s="558"/>
      <c r="E261" s="558"/>
      <c r="F261" s="558"/>
      <c r="G261" s="558"/>
      <c r="H261" s="558"/>
      <c r="I261" s="558"/>
      <c r="J261" s="558"/>
      <c r="K261" s="558"/>
      <c r="L261" s="558"/>
      <c r="M261" s="558"/>
      <c r="N261" s="558"/>
      <c r="O261" s="558"/>
      <c r="P261" s="558"/>
      <c r="Q261" s="558"/>
      <c r="R261" s="558"/>
      <c r="S261" s="558"/>
      <c r="T261" s="558"/>
      <c r="U261" s="558"/>
      <c r="V261" s="558"/>
      <c r="W261" s="558"/>
      <c r="X261" s="558"/>
      <c r="Y261" s="558"/>
      <c r="Z261" s="558"/>
      <c r="AA261" s="558"/>
      <c r="AB261" s="558"/>
      <c r="AC261" s="558"/>
      <c r="AD261" s="558"/>
      <c r="AE261" s="558"/>
      <c r="AF261" s="558"/>
      <c r="AG261" s="558"/>
      <c r="AH261" s="558"/>
      <c r="AI261" s="558"/>
    </row>
    <row r="262" spans="2:35">
      <c r="B262" s="558"/>
      <c r="C262" s="558"/>
      <c r="D262" s="558"/>
      <c r="E262" s="558"/>
      <c r="F262" s="558"/>
      <c r="G262" s="558"/>
      <c r="H262" s="558"/>
      <c r="I262" s="558"/>
      <c r="J262" s="558"/>
      <c r="K262" s="558"/>
      <c r="L262" s="558"/>
      <c r="M262" s="558"/>
      <c r="N262" s="558"/>
      <c r="O262" s="558"/>
      <c r="P262" s="558"/>
      <c r="Q262" s="558"/>
      <c r="R262" s="558"/>
      <c r="S262" s="558"/>
      <c r="T262" s="558"/>
      <c r="U262" s="558"/>
      <c r="V262" s="558"/>
      <c r="W262" s="558"/>
      <c r="X262" s="558"/>
      <c r="Y262" s="558"/>
      <c r="Z262" s="558"/>
      <c r="AA262" s="558"/>
      <c r="AB262" s="558"/>
      <c r="AC262" s="558"/>
      <c r="AD262" s="558"/>
      <c r="AE262" s="558"/>
      <c r="AF262" s="558"/>
      <c r="AG262" s="558"/>
      <c r="AH262" s="558"/>
      <c r="AI262" s="558"/>
    </row>
    <row r="263" spans="2:35">
      <c r="B263" s="558"/>
      <c r="C263" s="558"/>
      <c r="D263" s="558"/>
      <c r="E263" s="558"/>
      <c r="F263" s="558"/>
      <c r="G263" s="558"/>
      <c r="H263" s="558"/>
      <c r="I263" s="558"/>
      <c r="J263" s="558"/>
      <c r="K263" s="558"/>
      <c r="L263" s="558"/>
      <c r="M263" s="558"/>
      <c r="N263" s="558"/>
      <c r="O263" s="558"/>
      <c r="P263" s="558"/>
      <c r="Q263" s="558"/>
      <c r="R263" s="558"/>
      <c r="S263" s="558"/>
      <c r="T263" s="558"/>
      <c r="U263" s="558"/>
      <c r="V263" s="558"/>
      <c r="W263" s="558"/>
      <c r="X263" s="558"/>
      <c r="Y263" s="558"/>
      <c r="Z263" s="558"/>
      <c r="AA263" s="558"/>
      <c r="AB263" s="558"/>
      <c r="AC263" s="558"/>
      <c r="AD263" s="558"/>
      <c r="AE263" s="558"/>
      <c r="AF263" s="558"/>
      <c r="AG263" s="558"/>
      <c r="AH263" s="558"/>
      <c r="AI263" s="558"/>
    </row>
    <row r="264" spans="2:35">
      <c r="B264" s="558"/>
      <c r="C264" s="558"/>
      <c r="D264" s="558"/>
      <c r="E264" s="558"/>
      <c r="F264" s="558"/>
      <c r="G264" s="558"/>
      <c r="H264" s="558"/>
      <c r="I264" s="558"/>
      <c r="J264" s="558"/>
      <c r="K264" s="558"/>
      <c r="L264" s="558"/>
      <c r="M264" s="558"/>
      <c r="N264" s="558"/>
      <c r="O264" s="558"/>
      <c r="P264" s="558"/>
      <c r="Q264" s="558"/>
      <c r="R264" s="558"/>
      <c r="S264" s="558"/>
      <c r="T264" s="558"/>
      <c r="U264" s="558"/>
      <c r="V264" s="558"/>
      <c r="W264" s="558"/>
      <c r="X264" s="558"/>
      <c r="Y264" s="558"/>
      <c r="Z264" s="558"/>
      <c r="AA264" s="558"/>
      <c r="AB264" s="558"/>
      <c r="AC264" s="558"/>
      <c r="AD264" s="558"/>
      <c r="AE264" s="558"/>
      <c r="AF264" s="558"/>
      <c r="AG264" s="558"/>
      <c r="AH264" s="558"/>
      <c r="AI264" s="558"/>
    </row>
    <row r="265" spans="2:35">
      <c r="B265" s="558"/>
      <c r="C265" s="558"/>
      <c r="D265" s="558"/>
      <c r="E265" s="558"/>
      <c r="F265" s="558"/>
      <c r="G265" s="558"/>
      <c r="H265" s="558"/>
      <c r="I265" s="558"/>
      <c r="J265" s="558"/>
      <c r="K265" s="558"/>
      <c r="L265" s="558"/>
      <c r="M265" s="558"/>
      <c r="N265" s="558"/>
      <c r="O265" s="558"/>
      <c r="P265" s="558"/>
      <c r="Q265" s="558"/>
      <c r="R265" s="558"/>
      <c r="S265" s="558"/>
      <c r="T265" s="558"/>
      <c r="U265" s="558"/>
      <c r="V265" s="558"/>
      <c r="W265" s="558"/>
      <c r="X265" s="558"/>
      <c r="Y265" s="558"/>
      <c r="Z265" s="558"/>
      <c r="AA265" s="558"/>
      <c r="AB265" s="558"/>
      <c r="AC265" s="558"/>
      <c r="AD265" s="558"/>
      <c r="AE265" s="558"/>
      <c r="AF265" s="558"/>
      <c r="AG265" s="558"/>
      <c r="AH265" s="558"/>
      <c r="AI265" s="558"/>
    </row>
    <row r="266" spans="2:35">
      <c r="B266" s="558"/>
      <c r="C266" s="558"/>
      <c r="D266" s="558"/>
      <c r="E266" s="558"/>
      <c r="F266" s="558"/>
      <c r="G266" s="558"/>
      <c r="H266" s="558"/>
      <c r="I266" s="558"/>
      <c r="J266" s="558"/>
      <c r="K266" s="558"/>
      <c r="L266" s="558"/>
      <c r="M266" s="558"/>
      <c r="N266" s="558"/>
      <c r="O266" s="558"/>
      <c r="P266" s="558"/>
      <c r="Q266" s="558"/>
      <c r="R266" s="558"/>
      <c r="S266" s="558"/>
      <c r="T266" s="558"/>
      <c r="U266" s="558"/>
      <c r="V266" s="558"/>
      <c r="W266" s="558"/>
      <c r="X266" s="558"/>
      <c r="Y266" s="558"/>
      <c r="Z266" s="558"/>
      <c r="AA266" s="558"/>
      <c r="AB266" s="558"/>
      <c r="AC266" s="558"/>
      <c r="AD266" s="558"/>
      <c r="AE266" s="558"/>
      <c r="AF266" s="558"/>
      <c r="AG266" s="558"/>
      <c r="AH266" s="558"/>
      <c r="AI266" s="558"/>
    </row>
    <row r="267" spans="2:35">
      <c r="B267" s="558"/>
      <c r="C267" s="558"/>
      <c r="D267" s="558"/>
      <c r="E267" s="558"/>
      <c r="F267" s="558"/>
      <c r="G267" s="558"/>
      <c r="H267" s="558"/>
      <c r="I267" s="558"/>
      <c r="J267" s="558"/>
      <c r="K267" s="558"/>
      <c r="L267" s="558"/>
      <c r="M267" s="558"/>
      <c r="N267" s="558"/>
      <c r="O267" s="558"/>
      <c r="P267" s="558"/>
      <c r="Q267" s="558"/>
      <c r="R267" s="558"/>
      <c r="S267" s="558"/>
      <c r="T267" s="558"/>
      <c r="U267" s="558"/>
      <c r="V267" s="558"/>
      <c r="W267" s="558"/>
      <c r="X267" s="558"/>
      <c r="Y267" s="558"/>
      <c r="Z267" s="558"/>
      <c r="AA267" s="558"/>
      <c r="AB267" s="558"/>
      <c r="AC267" s="558"/>
      <c r="AD267" s="558"/>
      <c r="AE267" s="558"/>
      <c r="AF267" s="558"/>
      <c r="AG267" s="558"/>
      <c r="AH267" s="558"/>
      <c r="AI267" s="558"/>
    </row>
    <row r="268" spans="2:35">
      <c r="B268" s="558"/>
      <c r="C268" s="558"/>
      <c r="D268" s="558"/>
      <c r="E268" s="558"/>
      <c r="F268" s="558"/>
      <c r="G268" s="558"/>
      <c r="H268" s="558"/>
      <c r="I268" s="558"/>
      <c r="J268" s="558"/>
      <c r="K268" s="558"/>
      <c r="L268" s="558"/>
      <c r="M268" s="558"/>
      <c r="N268" s="558"/>
      <c r="O268" s="558"/>
      <c r="P268" s="558"/>
      <c r="Q268" s="558"/>
      <c r="R268" s="558"/>
      <c r="S268" s="558"/>
      <c r="T268" s="558"/>
      <c r="U268" s="558"/>
      <c r="V268" s="558"/>
      <c r="W268" s="558"/>
      <c r="X268" s="558"/>
      <c r="Y268" s="558"/>
      <c r="Z268" s="558"/>
      <c r="AA268" s="558"/>
      <c r="AB268" s="558"/>
      <c r="AC268" s="558"/>
      <c r="AD268" s="558"/>
      <c r="AE268" s="558"/>
      <c r="AF268" s="558"/>
      <c r="AG268" s="558"/>
      <c r="AH268" s="558"/>
      <c r="AI268" s="558"/>
    </row>
    <row r="269" spans="2:35">
      <c r="B269" s="558"/>
      <c r="C269" s="558"/>
      <c r="D269" s="558"/>
      <c r="E269" s="558"/>
      <c r="F269" s="558"/>
      <c r="G269" s="558"/>
      <c r="H269" s="558"/>
      <c r="I269" s="558"/>
      <c r="J269" s="558"/>
      <c r="K269" s="558"/>
      <c r="L269" s="558"/>
      <c r="M269" s="558"/>
      <c r="N269" s="558"/>
      <c r="O269" s="558"/>
      <c r="P269" s="558"/>
      <c r="Q269" s="558"/>
      <c r="R269" s="558"/>
      <c r="S269" s="558"/>
      <c r="T269" s="558"/>
      <c r="U269" s="558"/>
      <c r="V269" s="558"/>
      <c r="W269" s="558"/>
      <c r="X269" s="558"/>
      <c r="Y269" s="558"/>
      <c r="Z269" s="558"/>
      <c r="AA269" s="558"/>
      <c r="AB269" s="558"/>
      <c r="AC269" s="558"/>
      <c r="AD269" s="558"/>
      <c r="AE269" s="558"/>
      <c r="AF269" s="558"/>
      <c r="AG269" s="558"/>
      <c r="AH269" s="558"/>
      <c r="AI269" s="558"/>
    </row>
    <row r="270" spans="2:35">
      <c r="B270" s="558"/>
      <c r="C270" s="558"/>
      <c r="D270" s="558"/>
      <c r="E270" s="558"/>
      <c r="F270" s="558"/>
      <c r="G270" s="558"/>
      <c r="H270" s="558"/>
      <c r="I270" s="558"/>
      <c r="J270" s="558"/>
      <c r="K270" s="558"/>
      <c r="L270" s="558"/>
      <c r="M270" s="558"/>
      <c r="N270" s="558"/>
      <c r="O270" s="558"/>
      <c r="P270" s="558"/>
      <c r="Q270" s="558"/>
      <c r="R270" s="558"/>
      <c r="S270" s="558"/>
      <c r="T270" s="558"/>
      <c r="U270" s="558"/>
      <c r="V270" s="558"/>
      <c r="W270" s="558"/>
      <c r="X270" s="558"/>
      <c r="Y270" s="558"/>
      <c r="Z270" s="558"/>
      <c r="AA270" s="558"/>
      <c r="AB270" s="558"/>
      <c r="AC270" s="558"/>
      <c r="AD270" s="558"/>
      <c r="AE270" s="558"/>
      <c r="AF270" s="558"/>
      <c r="AG270" s="558"/>
      <c r="AH270" s="558"/>
      <c r="AI270" s="558"/>
    </row>
    <row r="271" spans="2:35">
      <c r="B271" s="558"/>
      <c r="C271" s="558"/>
      <c r="D271" s="558"/>
      <c r="E271" s="558"/>
      <c r="F271" s="558"/>
      <c r="G271" s="558"/>
      <c r="H271" s="558"/>
      <c r="I271" s="558"/>
      <c r="J271" s="558"/>
      <c r="K271" s="558"/>
      <c r="L271" s="558"/>
      <c r="M271" s="558"/>
      <c r="N271" s="558"/>
      <c r="O271" s="558"/>
      <c r="P271" s="558"/>
      <c r="Q271" s="558"/>
      <c r="R271" s="558"/>
      <c r="S271" s="558"/>
      <c r="T271" s="558"/>
      <c r="U271" s="558"/>
      <c r="V271" s="558"/>
      <c r="W271" s="558"/>
      <c r="X271" s="558"/>
      <c r="Y271" s="558"/>
      <c r="Z271" s="558"/>
      <c r="AA271" s="558"/>
      <c r="AB271" s="558"/>
      <c r="AC271" s="558"/>
      <c r="AD271" s="558"/>
      <c r="AE271" s="558"/>
      <c r="AF271" s="558"/>
      <c r="AG271" s="558"/>
      <c r="AH271" s="558"/>
      <c r="AI271" s="558"/>
    </row>
    <row r="272" spans="2:35">
      <c r="B272" s="558"/>
      <c r="C272" s="558"/>
      <c r="D272" s="558"/>
      <c r="E272" s="558"/>
      <c r="F272" s="558"/>
      <c r="G272" s="558"/>
      <c r="H272" s="558"/>
      <c r="I272" s="558"/>
      <c r="J272" s="558"/>
      <c r="K272" s="558"/>
      <c r="L272" s="558"/>
      <c r="M272" s="558"/>
      <c r="N272" s="558"/>
      <c r="O272" s="558"/>
      <c r="P272" s="558"/>
      <c r="Q272" s="558"/>
      <c r="R272" s="558"/>
      <c r="S272" s="558"/>
      <c r="T272" s="558"/>
      <c r="U272" s="558"/>
      <c r="V272" s="558"/>
      <c r="W272" s="558"/>
      <c r="X272" s="558"/>
      <c r="Y272" s="558"/>
      <c r="Z272" s="558"/>
      <c r="AA272" s="558"/>
      <c r="AB272" s="558"/>
      <c r="AC272" s="558"/>
      <c r="AD272" s="558"/>
      <c r="AE272" s="558"/>
      <c r="AF272" s="558"/>
      <c r="AG272" s="558"/>
      <c r="AH272" s="558"/>
      <c r="AI272" s="558"/>
    </row>
    <row r="273" spans="2:35">
      <c r="B273" s="558"/>
      <c r="C273" s="558"/>
      <c r="D273" s="558"/>
      <c r="E273" s="558"/>
      <c r="F273" s="558"/>
      <c r="G273" s="558"/>
      <c r="H273" s="558"/>
      <c r="I273" s="558"/>
      <c r="J273" s="558"/>
      <c r="K273" s="558"/>
      <c r="L273" s="558"/>
      <c r="M273" s="558"/>
      <c r="N273" s="558"/>
      <c r="O273" s="558"/>
      <c r="P273" s="558"/>
      <c r="Q273" s="558"/>
      <c r="R273" s="558"/>
      <c r="S273" s="558"/>
      <c r="T273" s="558"/>
      <c r="U273" s="558"/>
      <c r="V273" s="558"/>
      <c r="W273" s="558"/>
      <c r="X273" s="558"/>
      <c r="Y273" s="558"/>
      <c r="Z273" s="558"/>
      <c r="AA273" s="558"/>
      <c r="AB273" s="558"/>
      <c r="AC273" s="558"/>
      <c r="AD273" s="558"/>
      <c r="AE273" s="558"/>
      <c r="AF273" s="558"/>
      <c r="AG273" s="558"/>
      <c r="AH273" s="558"/>
      <c r="AI273" s="558"/>
    </row>
    <row r="274" spans="2:35">
      <c r="B274" s="558"/>
      <c r="C274" s="558"/>
      <c r="D274" s="558"/>
      <c r="E274" s="558"/>
      <c r="F274" s="558"/>
      <c r="G274" s="558"/>
      <c r="H274" s="558"/>
      <c r="I274" s="558"/>
      <c r="J274" s="558"/>
      <c r="K274" s="558"/>
      <c r="L274" s="558"/>
      <c r="M274" s="558"/>
      <c r="N274" s="558"/>
      <c r="O274" s="558"/>
      <c r="P274" s="558"/>
      <c r="Q274" s="558"/>
      <c r="R274" s="558"/>
      <c r="S274" s="558"/>
      <c r="T274" s="558"/>
      <c r="U274" s="558"/>
      <c r="V274" s="558"/>
      <c r="W274" s="558"/>
      <c r="X274" s="558"/>
      <c r="Y274" s="558"/>
      <c r="Z274" s="558"/>
      <c r="AA274" s="558"/>
      <c r="AB274" s="558"/>
      <c r="AC274" s="558"/>
      <c r="AD274" s="558"/>
      <c r="AE274" s="558"/>
      <c r="AF274" s="558"/>
      <c r="AG274" s="558"/>
      <c r="AH274" s="558"/>
      <c r="AI274" s="558"/>
    </row>
    <row r="275" spans="2:35">
      <c r="B275" s="558"/>
      <c r="C275" s="558"/>
      <c r="D275" s="558"/>
      <c r="E275" s="558"/>
      <c r="F275" s="558"/>
      <c r="G275" s="558"/>
      <c r="H275" s="558"/>
      <c r="I275" s="558"/>
      <c r="J275" s="558"/>
      <c r="K275" s="558"/>
      <c r="L275" s="558"/>
      <c r="M275" s="558"/>
      <c r="N275" s="558"/>
      <c r="O275" s="558"/>
      <c r="P275" s="558"/>
      <c r="Q275" s="558"/>
      <c r="R275" s="558"/>
      <c r="S275" s="558"/>
      <c r="T275" s="558"/>
      <c r="U275" s="558"/>
      <c r="V275" s="558"/>
      <c r="W275" s="558"/>
      <c r="X275" s="558"/>
      <c r="Y275" s="558"/>
      <c r="Z275" s="558"/>
      <c r="AA275" s="558"/>
      <c r="AB275" s="558"/>
      <c r="AC275" s="558"/>
      <c r="AD275" s="558"/>
      <c r="AE275" s="558"/>
      <c r="AF275" s="558"/>
      <c r="AG275" s="558"/>
      <c r="AH275" s="558"/>
      <c r="AI275" s="558"/>
    </row>
    <row r="276" spans="2:35">
      <c r="B276" s="558"/>
      <c r="C276" s="558"/>
      <c r="D276" s="558"/>
      <c r="E276" s="558"/>
      <c r="F276" s="558"/>
      <c r="G276" s="558"/>
      <c r="H276" s="558"/>
      <c r="I276" s="558"/>
      <c r="J276" s="558"/>
      <c r="K276" s="558"/>
      <c r="L276" s="558"/>
      <c r="M276" s="558"/>
      <c r="N276" s="558"/>
      <c r="O276" s="558"/>
      <c r="P276" s="558"/>
      <c r="Q276" s="558"/>
      <c r="R276" s="558"/>
      <c r="S276" s="558"/>
      <c r="T276" s="558"/>
      <c r="U276" s="558"/>
      <c r="V276" s="558"/>
      <c r="W276" s="558"/>
      <c r="X276" s="558"/>
      <c r="Y276" s="558"/>
      <c r="Z276" s="558"/>
      <c r="AA276" s="558"/>
      <c r="AB276" s="558"/>
      <c r="AC276" s="558"/>
      <c r="AD276" s="558"/>
      <c r="AE276" s="558"/>
      <c r="AF276" s="558"/>
      <c r="AG276" s="558"/>
      <c r="AH276" s="558"/>
      <c r="AI276" s="558"/>
    </row>
    <row r="277" spans="2:35">
      <c r="B277" s="558"/>
      <c r="C277" s="558"/>
      <c r="D277" s="558"/>
      <c r="E277" s="558"/>
      <c r="F277" s="558"/>
      <c r="G277" s="558"/>
      <c r="H277" s="558"/>
      <c r="I277" s="558"/>
      <c r="J277" s="558"/>
      <c r="K277" s="558"/>
      <c r="L277" s="558"/>
      <c r="M277" s="558"/>
      <c r="N277" s="558"/>
      <c r="O277" s="558"/>
      <c r="P277" s="558"/>
      <c r="Q277" s="558"/>
      <c r="R277" s="558"/>
      <c r="S277" s="558"/>
      <c r="T277" s="558"/>
      <c r="U277" s="558"/>
      <c r="V277" s="558"/>
      <c r="W277" s="558"/>
      <c r="X277" s="558"/>
      <c r="Y277" s="558"/>
      <c r="Z277" s="558"/>
      <c r="AA277" s="558"/>
      <c r="AB277" s="558"/>
      <c r="AC277" s="558"/>
      <c r="AD277" s="558"/>
      <c r="AE277" s="558"/>
      <c r="AF277" s="558"/>
      <c r="AG277" s="558"/>
      <c r="AH277" s="558"/>
      <c r="AI277" s="558"/>
    </row>
    <row r="278" spans="2:35">
      <c r="B278" s="558"/>
      <c r="C278" s="558"/>
      <c r="D278" s="558"/>
      <c r="E278" s="558"/>
      <c r="F278" s="558"/>
      <c r="G278" s="558"/>
      <c r="H278" s="558"/>
      <c r="I278" s="558"/>
      <c r="J278" s="558"/>
      <c r="K278" s="558"/>
      <c r="L278" s="558"/>
      <c r="M278" s="558"/>
      <c r="N278" s="558"/>
      <c r="O278" s="558"/>
      <c r="P278" s="558"/>
      <c r="Q278" s="558"/>
      <c r="R278" s="558"/>
      <c r="S278" s="558"/>
      <c r="T278" s="558"/>
      <c r="U278" s="558"/>
      <c r="V278" s="558"/>
      <c r="W278" s="558"/>
      <c r="X278" s="558"/>
      <c r="Y278" s="558"/>
      <c r="Z278" s="558"/>
      <c r="AA278" s="558"/>
      <c r="AB278" s="558"/>
      <c r="AC278" s="558"/>
      <c r="AD278" s="558"/>
      <c r="AE278" s="558"/>
      <c r="AF278" s="558"/>
      <c r="AG278" s="558"/>
      <c r="AH278" s="558"/>
      <c r="AI278" s="558"/>
    </row>
    <row r="279" spans="2:35">
      <c r="B279" s="558"/>
      <c r="C279" s="558"/>
      <c r="D279" s="558"/>
      <c r="E279" s="558"/>
      <c r="F279" s="558"/>
      <c r="G279" s="558"/>
      <c r="H279" s="558"/>
      <c r="I279" s="558"/>
      <c r="J279" s="558"/>
      <c r="K279" s="558"/>
      <c r="L279" s="558"/>
      <c r="M279" s="558"/>
      <c r="N279" s="558"/>
      <c r="O279" s="558"/>
      <c r="P279" s="558"/>
      <c r="Q279" s="558"/>
      <c r="R279" s="558"/>
      <c r="S279" s="558"/>
      <c r="T279" s="558"/>
      <c r="U279" s="558"/>
      <c r="V279" s="558"/>
      <c r="W279" s="558"/>
      <c r="X279" s="558"/>
      <c r="Y279" s="558"/>
      <c r="Z279" s="558"/>
      <c r="AA279" s="558"/>
      <c r="AB279" s="558"/>
      <c r="AC279" s="558"/>
      <c r="AD279" s="558"/>
      <c r="AE279" s="558"/>
      <c r="AF279" s="558"/>
      <c r="AG279" s="558"/>
      <c r="AH279" s="558"/>
      <c r="AI279" s="558"/>
    </row>
    <row r="280" spans="2:35">
      <c r="B280" s="558"/>
      <c r="C280" s="558"/>
      <c r="D280" s="558"/>
      <c r="E280" s="558"/>
      <c r="F280" s="558"/>
      <c r="G280" s="558"/>
      <c r="H280" s="558"/>
      <c r="I280" s="558"/>
      <c r="J280" s="558"/>
      <c r="K280" s="558"/>
      <c r="L280" s="558"/>
      <c r="M280" s="558"/>
      <c r="N280" s="558"/>
      <c r="O280" s="558"/>
      <c r="P280" s="558"/>
      <c r="Q280" s="558"/>
      <c r="R280" s="558"/>
      <c r="S280" s="558"/>
      <c r="T280" s="558"/>
      <c r="U280" s="558"/>
      <c r="V280" s="558"/>
      <c r="W280" s="558"/>
      <c r="X280" s="558"/>
      <c r="Y280" s="558"/>
      <c r="Z280" s="558"/>
      <c r="AA280" s="558"/>
      <c r="AB280" s="558"/>
      <c r="AC280" s="558"/>
      <c r="AD280" s="558"/>
      <c r="AE280" s="558"/>
      <c r="AF280" s="558"/>
      <c r="AG280" s="558"/>
      <c r="AH280" s="558"/>
      <c r="AI280" s="558"/>
    </row>
    <row r="281" spans="2:35">
      <c r="B281" s="558"/>
      <c r="C281" s="558"/>
      <c r="D281" s="558"/>
      <c r="E281" s="558"/>
      <c r="F281" s="558"/>
      <c r="G281" s="558"/>
      <c r="H281" s="558"/>
      <c r="I281" s="558"/>
      <c r="J281" s="558"/>
      <c r="K281" s="558"/>
      <c r="L281" s="558"/>
      <c r="M281" s="558"/>
      <c r="N281" s="558"/>
      <c r="O281" s="558"/>
      <c r="P281" s="558"/>
      <c r="Q281" s="558"/>
      <c r="R281" s="558"/>
      <c r="S281" s="558"/>
      <c r="T281" s="558"/>
      <c r="U281" s="558"/>
      <c r="V281" s="558"/>
      <c r="W281" s="558"/>
      <c r="X281" s="558"/>
      <c r="Y281" s="558"/>
      <c r="Z281" s="558"/>
      <c r="AA281" s="558"/>
      <c r="AB281" s="558"/>
      <c r="AC281" s="558"/>
      <c r="AD281" s="558"/>
      <c r="AE281" s="558"/>
      <c r="AF281" s="558"/>
      <c r="AG281" s="558"/>
      <c r="AH281" s="558"/>
      <c r="AI281" s="558"/>
    </row>
    <row r="282" spans="2:35">
      <c r="B282" s="558"/>
      <c r="C282" s="558"/>
      <c r="D282" s="558"/>
      <c r="E282" s="558"/>
      <c r="F282" s="558"/>
      <c r="G282" s="558"/>
      <c r="H282" s="558"/>
      <c r="I282" s="558"/>
      <c r="J282" s="558"/>
      <c r="K282" s="558"/>
      <c r="L282" s="558"/>
      <c r="M282" s="558"/>
      <c r="N282" s="558"/>
      <c r="O282" s="558"/>
      <c r="P282" s="558"/>
      <c r="Q282" s="558"/>
      <c r="R282" s="558"/>
      <c r="S282" s="558"/>
      <c r="T282" s="558"/>
      <c r="U282" s="558"/>
      <c r="V282" s="558"/>
      <c r="W282" s="558"/>
      <c r="X282" s="558"/>
      <c r="Y282" s="558"/>
      <c r="Z282" s="558"/>
      <c r="AA282" s="558"/>
      <c r="AB282" s="558"/>
      <c r="AC282" s="558"/>
      <c r="AD282" s="558"/>
      <c r="AE282" s="558"/>
      <c r="AF282" s="558"/>
      <c r="AG282" s="558"/>
      <c r="AH282" s="558"/>
      <c r="AI282" s="558"/>
    </row>
    <row r="283" spans="2:35">
      <c r="B283" s="558"/>
      <c r="C283" s="558"/>
      <c r="D283" s="558"/>
      <c r="E283" s="558"/>
      <c r="F283" s="558"/>
      <c r="G283" s="558"/>
      <c r="H283" s="558"/>
      <c r="I283" s="558"/>
      <c r="J283" s="558"/>
      <c r="K283" s="558"/>
      <c r="L283" s="558"/>
      <c r="M283" s="558"/>
      <c r="N283" s="558"/>
      <c r="O283" s="558"/>
      <c r="P283" s="558"/>
      <c r="Q283" s="558"/>
      <c r="R283" s="558"/>
      <c r="S283" s="558"/>
      <c r="T283" s="558"/>
      <c r="U283" s="558"/>
      <c r="V283" s="558"/>
      <c r="W283" s="558"/>
      <c r="X283" s="558"/>
      <c r="Y283" s="558"/>
      <c r="Z283" s="558"/>
      <c r="AA283" s="558"/>
      <c r="AB283" s="558"/>
      <c r="AC283" s="558"/>
      <c r="AD283" s="558"/>
      <c r="AE283" s="558"/>
      <c r="AF283" s="558"/>
      <c r="AG283" s="558"/>
      <c r="AH283" s="558"/>
      <c r="AI283" s="558"/>
    </row>
    <row r="284" spans="2:35">
      <c r="B284" s="558"/>
      <c r="C284" s="558"/>
      <c r="D284" s="558"/>
      <c r="E284" s="558"/>
      <c r="F284" s="558"/>
      <c r="G284" s="558"/>
      <c r="H284" s="558"/>
      <c r="I284" s="558"/>
      <c r="J284" s="558"/>
      <c r="K284" s="558"/>
      <c r="L284" s="558"/>
      <c r="M284" s="558"/>
      <c r="N284" s="558"/>
      <c r="O284" s="558"/>
      <c r="P284" s="558"/>
      <c r="Q284" s="558"/>
      <c r="R284" s="558"/>
      <c r="S284" s="558"/>
      <c r="T284" s="558"/>
      <c r="U284" s="558"/>
      <c r="V284" s="558"/>
      <c r="W284" s="558"/>
      <c r="X284" s="558"/>
      <c r="Y284" s="558"/>
      <c r="Z284" s="558"/>
      <c r="AA284" s="558"/>
      <c r="AB284" s="558"/>
      <c r="AC284" s="558"/>
      <c r="AD284" s="558"/>
      <c r="AE284" s="558"/>
      <c r="AF284" s="558"/>
      <c r="AG284" s="558"/>
      <c r="AH284" s="558"/>
      <c r="AI284" s="558"/>
    </row>
    <row r="285" spans="2:35">
      <c r="B285" s="558"/>
      <c r="C285" s="558"/>
      <c r="D285" s="558"/>
      <c r="E285" s="558"/>
      <c r="F285" s="558"/>
      <c r="G285" s="558"/>
      <c r="H285" s="558"/>
      <c r="I285" s="558"/>
      <c r="J285" s="558"/>
      <c r="K285" s="558"/>
      <c r="L285" s="558"/>
      <c r="M285" s="558"/>
      <c r="N285" s="558"/>
      <c r="O285" s="558"/>
      <c r="P285" s="558"/>
      <c r="Q285" s="558"/>
      <c r="R285" s="558"/>
      <c r="S285" s="558"/>
      <c r="T285" s="558"/>
      <c r="U285" s="558"/>
      <c r="V285" s="558"/>
      <c r="W285" s="558"/>
      <c r="X285" s="558"/>
      <c r="Y285" s="558"/>
      <c r="Z285" s="558"/>
      <c r="AA285" s="558"/>
      <c r="AB285" s="558"/>
      <c r="AC285" s="558"/>
      <c r="AD285" s="558"/>
      <c r="AE285" s="558"/>
      <c r="AF285" s="558"/>
      <c r="AG285" s="558"/>
      <c r="AH285" s="558"/>
      <c r="AI285" s="558"/>
    </row>
    <row r="286" spans="2:35">
      <c r="B286" s="558"/>
      <c r="C286" s="558"/>
      <c r="D286" s="558"/>
      <c r="E286" s="558"/>
      <c r="F286" s="558"/>
      <c r="G286" s="558"/>
      <c r="H286" s="558"/>
      <c r="I286" s="558"/>
      <c r="J286" s="558"/>
      <c r="K286" s="558"/>
      <c r="L286" s="558"/>
      <c r="M286" s="558"/>
      <c r="N286" s="558"/>
      <c r="O286" s="558"/>
      <c r="P286" s="558"/>
      <c r="Q286" s="558"/>
      <c r="R286" s="558"/>
      <c r="S286" s="558"/>
      <c r="T286" s="558"/>
      <c r="U286" s="558"/>
      <c r="V286" s="558"/>
      <c r="W286" s="558"/>
      <c r="X286" s="558"/>
      <c r="Y286" s="558"/>
      <c r="Z286" s="558"/>
      <c r="AA286" s="558"/>
      <c r="AB286" s="558"/>
      <c r="AC286" s="558"/>
      <c r="AD286" s="558"/>
      <c r="AE286" s="558"/>
      <c r="AF286" s="558"/>
      <c r="AG286" s="558"/>
      <c r="AH286" s="558"/>
      <c r="AI286" s="558"/>
    </row>
    <row r="287" spans="2:35">
      <c r="B287" s="558"/>
      <c r="C287" s="558"/>
      <c r="D287" s="558"/>
      <c r="E287" s="558"/>
      <c r="F287" s="558"/>
      <c r="G287" s="558"/>
      <c r="H287" s="558"/>
      <c r="I287" s="558"/>
      <c r="J287" s="558"/>
      <c r="K287" s="558"/>
      <c r="L287" s="558"/>
      <c r="M287" s="558"/>
      <c r="N287" s="558"/>
      <c r="O287" s="558"/>
      <c r="P287" s="558"/>
      <c r="Q287" s="558"/>
      <c r="R287" s="558"/>
      <c r="S287" s="558"/>
      <c r="T287" s="558"/>
      <c r="U287" s="558"/>
      <c r="V287" s="558"/>
      <c r="W287" s="558"/>
      <c r="X287" s="558"/>
      <c r="Y287" s="558"/>
      <c r="Z287" s="558"/>
      <c r="AA287" s="558"/>
      <c r="AB287" s="558"/>
      <c r="AC287" s="558"/>
      <c r="AD287" s="558"/>
      <c r="AE287" s="558"/>
      <c r="AF287" s="558"/>
      <c r="AG287" s="558"/>
      <c r="AH287" s="558"/>
      <c r="AI287" s="558"/>
    </row>
    <row r="288" spans="2:35">
      <c r="B288" s="558"/>
      <c r="C288" s="558"/>
      <c r="D288" s="558"/>
      <c r="E288" s="558"/>
      <c r="F288" s="558"/>
      <c r="G288" s="558"/>
      <c r="H288" s="558"/>
      <c r="I288" s="558"/>
      <c r="J288" s="558"/>
      <c r="K288" s="558"/>
      <c r="L288" s="558"/>
      <c r="M288" s="558"/>
      <c r="N288" s="558"/>
      <c r="O288" s="558"/>
      <c r="P288" s="558"/>
      <c r="Q288" s="558"/>
      <c r="R288" s="558"/>
      <c r="S288" s="558"/>
      <c r="T288" s="558"/>
      <c r="U288" s="558"/>
      <c r="V288" s="558"/>
      <c r="W288" s="558"/>
      <c r="X288" s="558"/>
      <c r="Y288" s="558"/>
      <c r="Z288" s="558"/>
      <c r="AA288" s="558"/>
      <c r="AB288" s="558"/>
      <c r="AC288" s="558"/>
      <c r="AD288" s="558"/>
      <c r="AE288" s="558"/>
      <c r="AF288" s="558"/>
      <c r="AG288" s="558"/>
      <c r="AH288" s="558"/>
      <c r="AI288" s="558"/>
    </row>
    <row r="289" spans="2:35">
      <c r="B289" s="558"/>
      <c r="C289" s="558"/>
      <c r="D289" s="558"/>
      <c r="E289" s="558"/>
      <c r="F289" s="558"/>
      <c r="G289" s="558"/>
      <c r="H289" s="558"/>
      <c r="I289" s="558"/>
      <c r="J289" s="558"/>
      <c r="K289" s="558"/>
      <c r="L289" s="558"/>
      <c r="M289" s="558"/>
      <c r="N289" s="558"/>
      <c r="O289" s="558"/>
      <c r="P289" s="558"/>
      <c r="Q289" s="558"/>
      <c r="R289" s="558"/>
      <c r="S289" s="558"/>
      <c r="T289" s="558"/>
      <c r="U289" s="558"/>
      <c r="V289" s="558"/>
      <c r="W289" s="558"/>
      <c r="X289" s="558"/>
      <c r="Y289" s="558"/>
      <c r="Z289" s="558"/>
      <c r="AA289" s="558"/>
      <c r="AB289" s="558"/>
      <c r="AC289" s="558"/>
      <c r="AD289" s="558"/>
      <c r="AE289" s="558"/>
      <c r="AF289" s="558"/>
      <c r="AG289" s="558"/>
      <c r="AH289" s="558"/>
      <c r="AI289" s="558"/>
    </row>
    <row r="290" spans="2:35">
      <c r="B290" s="558"/>
      <c r="C290" s="558"/>
      <c r="D290" s="558"/>
      <c r="E290" s="558"/>
      <c r="F290" s="558"/>
      <c r="G290" s="558"/>
      <c r="H290" s="558"/>
      <c r="I290" s="558"/>
      <c r="J290" s="558"/>
      <c r="K290" s="558"/>
      <c r="L290" s="558"/>
      <c r="M290" s="558"/>
      <c r="N290" s="558"/>
      <c r="O290" s="558"/>
      <c r="P290" s="558"/>
      <c r="Q290" s="558"/>
      <c r="R290" s="558"/>
      <c r="S290" s="558"/>
      <c r="T290" s="558"/>
      <c r="U290" s="558"/>
      <c r="V290" s="558"/>
      <c r="W290" s="558"/>
      <c r="X290" s="558"/>
      <c r="Y290" s="558"/>
      <c r="Z290" s="558"/>
      <c r="AA290" s="558"/>
      <c r="AB290" s="558"/>
      <c r="AC290" s="558"/>
      <c r="AD290" s="558"/>
      <c r="AE290" s="558"/>
      <c r="AF290" s="558"/>
      <c r="AG290" s="558"/>
      <c r="AH290" s="558"/>
      <c r="AI290" s="558"/>
    </row>
    <row r="291" spans="2:35">
      <c r="B291" s="558"/>
      <c r="C291" s="558"/>
      <c r="D291" s="558"/>
      <c r="E291" s="558"/>
      <c r="F291" s="558"/>
      <c r="G291" s="558"/>
      <c r="H291" s="558"/>
      <c r="I291" s="558"/>
      <c r="J291" s="558"/>
      <c r="K291" s="558"/>
      <c r="L291" s="558"/>
      <c r="M291" s="558"/>
      <c r="N291" s="558"/>
      <c r="O291" s="558"/>
      <c r="P291" s="558"/>
      <c r="Q291" s="558"/>
      <c r="R291" s="558"/>
      <c r="S291" s="558"/>
      <c r="T291" s="558"/>
      <c r="U291" s="558"/>
      <c r="V291" s="558"/>
      <c r="W291" s="558"/>
      <c r="X291" s="558"/>
      <c r="Y291" s="558"/>
      <c r="Z291" s="558"/>
      <c r="AA291" s="558"/>
      <c r="AB291" s="558"/>
      <c r="AC291" s="558"/>
      <c r="AD291" s="558"/>
      <c r="AE291" s="558"/>
      <c r="AF291" s="558"/>
      <c r="AG291" s="558"/>
      <c r="AH291" s="558"/>
      <c r="AI291" s="558"/>
    </row>
    <row r="292" spans="2:35">
      <c r="B292" s="558"/>
      <c r="C292" s="558"/>
      <c r="D292" s="558"/>
      <c r="E292" s="558"/>
      <c r="F292" s="558"/>
      <c r="G292" s="558"/>
      <c r="H292" s="558"/>
      <c r="I292" s="558"/>
      <c r="J292" s="558"/>
      <c r="K292" s="558"/>
      <c r="L292" s="558"/>
      <c r="M292" s="558"/>
      <c r="N292" s="558"/>
      <c r="O292" s="558"/>
      <c r="P292" s="558"/>
      <c r="Q292" s="558"/>
      <c r="R292" s="558"/>
      <c r="S292" s="558"/>
      <c r="T292" s="558"/>
      <c r="U292" s="558"/>
      <c r="V292" s="558"/>
      <c r="W292" s="558"/>
      <c r="X292" s="558"/>
      <c r="Y292" s="558"/>
      <c r="Z292" s="558"/>
      <c r="AA292" s="558"/>
      <c r="AB292" s="558"/>
      <c r="AC292" s="558"/>
      <c r="AD292" s="558"/>
      <c r="AE292" s="558"/>
      <c r="AF292" s="558"/>
      <c r="AG292" s="558"/>
      <c r="AH292" s="558"/>
      <c r="AI292" s="558"/>
    </row>
    <row r="293" spans="2:35">
      <c r="B293" s="558"/>
      <c r="C293" s="558"/>
      <c r="D293" s="558"/>
      <c r="E293" s="558"/>
      <c r="F293" s="558"/>
      <c r="G293" s="558"/>
      <c r="H293" s="558"/>
      <c r="I293" s="558"/>
      <c r="J293" s="558"/>
      <c r="K293" s="558"/>
      <c r="L293" s="558"/>
      <c r="M293" s="558"/>
      <c r="N293" s="558"/>
      <c r="O293" s="558"/>
      <c r="P293" s="558"/>
      <c r="Q293" s="558"/>
      <c r="R293" s="558"/>
      <c r="S293" s="558"/>
      <c r="T293" s="558"/>
      <c r="U293" s="558"/>
      <c r="V293" s="558"/>
      <c r="W293" s="558"/>
      <c r="X293" s="558"/>
      <c r="Y293" s="558"/>
      <c r="Z293" s="558"/>
      <c r="AA293" s="558"/>
      <c r="AB293" s="558"/>
      <c r="AC293" s="558"/>
      <c r="AD293" s="558"/>
      <c r="AE293" s="558"/>
      <c r="AF293" s="558"/>
      <c r="AG293" s="558"/>
      <c r="AH293" s="558"/>
      <c r="AI293" s="558"/>
    </row>
    <row r="294" spans="2:35">
      <c r="B294" s="558"/>
      <c r="C294" s="558"/>
      <c r="D294" s="558"/>
      <c r="E294" s="558"/>
      <c r="F294" s="558"/>
      <c r="G294" s="558"/>
      <c r="H294" s="558"/>
      <c r="I294" s="558"/>
      <c r="J294" s="558"/>
      <c r="K294" s="558"/>
      <c r="L294" s="558"/>
      <c r="M294" s="558"/>
      <c r="N294" s="558"/>
      <c r="O294" s="558"/>
      <c r="P294" s="558"/>
      <c r="Q294" s="558"/>
      <c r="R294" s="558"/>
      <c r="S294" s="558"/>
      <c r="T294" s="558"/>
      <c r="U294" s="558"/>
      <c r="V294" s="558"/>
      <c r="W294" s="558"/>
      <c r="X294" s="558"/>
      <c r="Y294" s="558"/>
      <c r="Z294" s="558"/>
      <c r="AA294" s="558"/>
      <c r="AB294" s="558"/>
      <c r="AC294" s="558"/>
      <c r="AD294" s="558"/>
      <c r="AE294" s="558"/>
      <c r="AF294" s="558"/>
      <c r="AG294" s="558"/>
      <c r="AH294" s="558"/>
      <c r="AI294" s="558"/>
    </row>
    <row r="295" spans="2:35">
      <c r="B295" s="558"/>
      <c r="C295" s="558"/>
      <c r="D295" s="558"/>
      <c r="E295" s="558"/>
      <c r="F295" s="558"/>
      <c r="G295" s="558"/>
      <c r="H295" s="558"/>
      <c r="I295" s="558"/>
      <c r="J295" s="558"/>
      <c r="K295" s="558"/>
      <c r="L295" s="558"/>
      <c r="M295" s="558"/>
      <c r="N295" s="558"/>
      <c r="O295" s="558"/>
      <c r="P295" s="558"/>
      <c r="Q295" s="558"/>
      <c r="R295" s="558"/>
      <c r="S295" s="558"/>
      <c r="T295" s="558"/>
      <c r="U295" s="558"/>
      <c r="V295" s="558"/>
      <c r="W295" s="558"/>
      <c r="X295" s="558"/>
      <c r="Y295" s="558"/>
      <c r="Z295" s="558"/>
      <c r="AA295" s="558"/>
      <c r="AB295" s="558"/>
      <c r="AC295" s="558"/>
      <c r="AD295" s="558"/>
      <c r="AE295" s="558"/>
      <c r="AF295" s="558"/>
      <c r="AG295" s="558"/>
      <c r="AH295" s="558"/>
      <c r="AI295" s="558"/>
    </row>
    <row r="296" spans="2:35">
      <c r="B296" s="558"/>
      <c r="C296" s="558"/>
      <c r="D296" s="558"/>
      <c r="E296" s="558"/>
      <c r="F296" s="558"/>
      <c r="G296" s="558"/>
      <c r="H296" s="558"/>
      <c r="I296" s="558"/>
      <c r="J296" s="558"/>
      <c r="K296" s="558"/>
      <c r="L296" s="558"/>
      <c r="M296" s="558"/>
      <c r="N296" s="558"/>
      <c r="O296" s="558"/>
      <c r="P296" s="558"/>
      <c r="Q296" s="558"/>
      <c r="R296" s="558"/>
      <c r="S296" s="558"/>
      <c r="T296" s="558"/>
      <c r="U296" s="558"/>
      <c r="V296" s="558"/>
      <c r="W296" s="558"/>
      <c r="X296" s="558"/>
      <c r="Y296" s="558"/>
      <c r="Z296" s="558"/>
      <c r="AA296" s="558"/>
      <c r="AB296" s="558"/>
      <c r="AC296" s="558"/>
      <c r="AD296" s="558"/>
      <c r="AE296" s="558"/>
      <c r="AF296" s="558"/>
      <c r="AG296" s="558"/>
      <c r="AH296" s="558"/>
      <c r="AI296" s="558"/>
    </row>
    <row r="297" spans="2:35">
      <c r="B297" s="558"/>
      <c r="C297" s="558"/>
      <c r="D297" s="558"/>
      <c r="E297" s="558"/>
      <c r="F297" s="558"/>
      <c r="G297" s="558"/>
      <c r="H297" s="558"/>
      <c r="I297" s="558"/>
      <c r="J297" s="558"/>
      <c r="K297" s="558"/>
      <c r="L297" s="558"/>
      <c r="M297" s="558"/>
      <c r="N297" s="558"/>
      <c r="O297" s="558"/>
      <c r="P297" s="558"/>
      <c r="Q297" s="558"/>
      <c r="R297" s="558"/>
      <c r="S297" s="558"/>
      <c r="T297" s="558"/>
      <c r="U297" s="558"/>
      <c r="V297" s="558"/>
      <c r="W297" s="558"/>
      <c r="X297" s="558"/>
      <c r="Y297" s="558"/>
      <c r="Z297" s="558"/>
      <c r="AA297" s="558"/>
      <c r="AB297" s="558"/>
      <c r="AC297" s="558"/>
      <c r="AD297" s="558"/>
      <c r="AE297" s="558"/>
      <c r="AF297" s="558"/>
      <c r="AG297" s="558"/>
      <c r="AH297" s="558"/>
      <c r="AI297" s="558"/>
    </row>
    <row r="298" spans="2:35">
      <c r="B298" s="558"/>
      <c r="C298" s="558"/>
      <c r="D298" s="558"/>
      <c r="E298" s="558"/>
      <c r="F298" s="558"/>
      <c r="G298" s="558"/>
      <c r="H298" s="558"/>
      <c r="I298" s="558"/>
      <c r="J298" s="558"/>
      <c r="K298" s="558"/>
      <c r="L298" s="558"/>
      <c r="M298" s="558"/>
      <c r="N298" s="558"/>
      <c r="O298" s="558"/>
      <c r="P298" s="558"/>
      <c r="Q298" s="558"/>
      <c r="R298" s="558"/>
      <c r="S298" s="558"/>
      <c r="T298" s="558"/>
      <c r="U298" s="558"/>
      <c r="V298" s="558"/>
      <c r="W298" s="558"/>
      <c r="X298" s="558"/>
      <c r="Y298" s="558"/>
      <c r="Z298" s="558"/>
      <c r="AA298" s="558"/>
      <c r="AB298" s="558"/>
      <c r="AC298" s="558"/>
      <c r="AD298" s="558"/>
      <c r="AE298" s="558"/>
      <c r="AF298" s="558"/>
      <c r="AG298" s="558"/>
      <c r="AH298" s="558"/>
      <c r="AI298" s="558"/>
    </row>
    <row r="299" spans="2:35">
      <c r="B299" s="558"/>
      <c r="C299" s="558"/>
      <c r="D299" s="558"/>
      <c r="E299" s="558"/>
      <c r="F299" s="558"/>
      <c r="G299" s="558"/>
      <c r="H299" s="558"/>
      <c r="I299" s="558"/>
      <c r="J299" s="558"/>
      <c r="K299" s="558"/>
      <c r="L299" s="558"/>
      <c r="M299" s="558"/>
      <c r="N299" s="558"/>
      <c r="O299" s="558"/>
      <c r="P299" s="558"/>
      <c r="Q299" s="558"/>
      <c r="R299" s="558"/>
      <c r="S299" s="558"/>
      <c r="T299" s="558"/>
      <c r="U299" s="558"/>
      <c r="V299" s="558"/>
      <c r="W299" s="558"/>
      <c r="X299" s="558"/>
      <c r="Y299" s="558"/>
      <c r="Z299" s="558"/>
      <c r="AA299" s="558"/>
      <c r="AB299" s="558"/>
      <c r="AC299" s="558"/>
      <c r="AD299" s="558"/>
      <c r="AE299" s="558"/>
      <c r="AF299" s="558"/>
      <c r="AG299" s="558"/>
      <c r="AH299" s="558"/>
      <c r="AI299" s="558"/>
    </row>
    <row r="300" spans="2:35">
      <c r="B300" s="558"/>
      <c r="C300" s="558"/>
      <c r="D300" s="558"/>
      <c r="E300" s="558"/>
      <c r="F300" s="558"/>
      <c r="G300" s="558"/>
      <c r="H300" s="558"/>
      <c r="I300" s="558"/>
      <c r="J300" s="558"/>
      <c r="K300" s="558"/>
      <c r="L300" s="558"/>
      <c r="M300" s="558"/>
      <c r="N300" s="558"/>
      <c r="O300" s="558"/>
      <c r="P300" s="558"/>
      <c r="Q300" s="558"/>
      <c r="R300" s="558"/>
      <c r="S300" s="558"/>
      <c r="T300" s="558"/>
      <c r="U300" s="558"/>
      <c r="V300" s="558"/>
      <c r="W300" s="558"/>
      <c r="X300" s="558"/>
      <c r="Y300" s="558"/>
      <c r="Z300" s="558"/>
      <c r="AA300" s="558"/>
      <c r="AB300" s="558"/>
      <c r="AC300" s="558"/>
      <c r="AD300" s="558"/>
      <c r="AE300" s="558"/>
      <c r="AF300" s="558"/>
      <c r="AG300" s="558"/>
      <c r="AH300" s="558"/>
      <c r="AI300" s="558"/>
    </row>
    <row r="301" spans="2:35">
      <c r="B301" s="558"/>
      <c r="C301" s="558"/>
      <c r="D301" s="558"/>
      <c r="E301" s="558"/>
      <c r="F301" s="558"/>
      <c r="G301" s="558"/>
      <c r="H301" s="558"/>
      <c r="I301" s="558"/>
      <c r="J301" s="558"/>
      <c r="K301" s="558"/>
      <c r="L301" s="558"/>
      <c r="M301" s="558"/>
      <c r="N301" s="558"/>
      <c r="O301" s="558"/>
      <c r="P301" s="558"/>
      <c r="Q301" s="558"/>
      <c r="R301" s="558"/>
      <c r="S301" s="558"/>
      <c r="T301" s="558"/>
      <c r="U301" s="558"/>
      <c r="V301" s="558"/>
      <c r="W301" s="558"/>
      <c r="X301" s="558"/>
      <c r="Y301" s="558"/>
      <c r="Z301" s="558"/>
      <c r="AA301" s="558"/>
      <c r="AB301" s="558"/>
      <c r="AC301" s="558"/>
      <c r="AD301" s="558"/>
      <c r="AE301" s="558"/>
      <c r="AF301" s="558"/>
      <c r="AG301" s="558"/>
      <c r="AH301" s="558"/>
      <c r="AI301" s="558"/>
    </row>
    <row r="302" spans="2:35">
      <c r="B302" s="558"/>
      <c r="C302" s="558"/>
      <c r="D302" s="558"/>
      <c r="E302" s="558"/>
      <c r="F302" s="558"/>
      <c r="G302" s="558"/>
      <c r="H302" s="558"/>
      <c r="I302" s="558"/>
      <c r="J302" s="558"/>
      <c r="K302" s="558"/>
      <c r="L302" s="558"/>
      <c r="M302" s="558"/>
      <c r="N302" s="558"/>
      <c r="O302" s="558"/>
      <c r="P302" s="558"/>
      <c r="Q302" s="558"/>
      <c r="R302" s="558"/>
      <c r="S302" s="558"/>
      <c r="T302" s="558"/>
      <c r="U302" s="558"/>
      <c r="V302" s="558"/>
      <c r="W302" s="558"/>
      <c r="X302" s="558"/>
      <c r="Y302" s="558"/>
      <c r="Z302" s="558"/>
      <c r="AA302" s="558"/>
      <c r="AB302" s="558"/>
      <c r="AC302" s="558"/>
      <c r="AD302" s="558"/>
      <c r="AE302" s="558"/>
      <c r="AF302" s="558"/>
      <c r="AG302" s="558"/>
      <c r="AH302" s="558"/>
      <c r="AI302" s="558"/>
    </row>
    <row r="303" spans="2:35">
      <c r="B303" s="558"/>
      <c r="C303" s="558"/>
      <c r="D303" s="558"/>
      <c r="E303" s="558"/>
      <c r="F303" s="558"/>
      <c r="G303" s="558"/>
      <c r="H303" s="558"/>
      <c r="I303" s="558"/>
      <c r="J303" s="558"/>
      <c r="K303" s="558"/>
      <c r="L303" s="558"/>
      <c r="M303" s="558"/>
      <c r="N303" s="558"/>
      <c r="O303" s="558"/>
      <c r="P303" s="558"/>
      <c r="Q303" s="558"/>
      <c r="R303" s="558"/>
      <c r="S303" s="558"/>
      <c r="T303" s="558"/>
      <c r="U303" s="558"/>
      <c r="V303" s="558"/>
      <c r="W303" s="558"/>
      <c r="X303" s="558"/>
      <c r="Y303" s="558"/>
      <c r="Z303" s="558"/>
      <c r="AA303" s="558"/>
      <c r="AB303" s="558"/>
      <c r="AC303" s="558"/>
      <c r="AD303" s="558"/>
      <c r="AE303" s="558"/>
      <c r="AF303" s="558"/>
      <c r="AG303" s="558"/>
      <c r="AH303" s="558"/>
      <c r="AI303" s="558"/>
    </row>
    <row r="304" spans="2:35">
      <c r="B304" s="558"/>
      <c r="C304" s="558"/>
      <c r="D304" s="558"/>
      <c r="E304" s="558"/>
      <c r="F304" s="558"/>
      <c r="G304" s="558"/>
      <c r="H304" s="558"/>
      <c r="I304" s="558"/>
      <c r="J304" s="558"/>
      <c r="K304" s="558"/>
      <c r="L304" s="558"/>
      <c r="M304" s="558"/>
      <c r="N304" s="558"/>
      <c r="O304" s="558"/>
      <c r="P304" s="558"/>
      <c r="Q304" s="558"/>
      <c r="R304" s="558"/>
      <c r="S304" s="558"/>
      <c r="T304" s="558"/>
      <c r="U304" s="558"/>
      <c r="V304" s="558"/>
      <c r="W304" s="558"/>
      <c r="X304" s="558"/>
      <c r="Y304" s="558"/>
      <c r="Z304" s="558"/>
      <c r="AA304" s="558"/>
      <c r="AB304" s="558"/>
      <c r="AC304" s="558"/>
      <c r="AD304" s="558"/>
      <c r="AE304" s="558"/>
      <c r="AF304" s="558"/>
      <c r="AG304" s="558"/>
      <c r="AH304" s="558"/>
      <c r="AI304" s="558"/>
    </row>
    <row r="305" spans="2:35">
      <c r="B305" s="558"/>
      <c r="C305" s="558"/>
      <c r="D305" s="558"/>
      <c r="E305" s="558"/>
      <c r="F305" s="558"/>
      <c r="G305" s="558"/>
      <c r="H305" s="558"/>
      <c r="I305" s="558"/>
      <c r="J305" s="558"/>
      <c r="K305" s="558"/>
      <c r="L305" s="558"/>
      <c r="M305" s="558"/>
      <c r="N305" s="558"/>
      <c r="O305" s="558"/>
      <c r="P305" s="558"/>
      <c r="Q305" s="558"/>
      <c r="R305" s="558"/>
      <c r="S305" s="558"/>
      <c r="T305" s="558"/>
      <c r="U305" s="558"/>
      <c r="V305" s="558"/>
      <c r="W305" s="558"/>
      <c r="X305" s="558"/>
      <c r="Y305" s="558"/>
      <c r="Z305" s="558"/>
      <c r="AA305" s="558"/>
      <c r="AB305" s="558"/>
      <c r="AC305" s="558"/>
      <c r="AD305" s="558"/>
      <c r="AE305" s="558"/>
      <c r="AF305" s="558"/>
      <c r="AG305" s="558"/>
      <c r="AH305" s="558"/>
      <c r="AI305" s="558"/>
    </row>
    <row r="306" spans="2:35">
      <c r="B306" s="558"/>
      <c r="C306" s="558"/>
      <c r="D306" s="558"/>
      <c r="E306" s="558"/>
      <c r="F306" s="558"/>
      <c r="G306" s="558"/>
      <c r="H306" s="558"/>
      <c r="I306" s="558"/>
      <c r="J306" s="558"/>
      <c r="K306" s="558"/>
      <c r="L306" s="558"/>
      <c r="M306" s="558"/>
      <c r="N306" s="558"/>
      <c r="O306" s="558"/>
      <c r="P306" s="558"/>
      <c r="Q306" s="558"/>
      <c r="R306" s="558"/>
      <c r="S306" s="558"/>
      <c r="T306" s="558"/>
      <c r="U306" s="558"/>
      <c r="V306" s="558"/>
      <c r="W306" s="558"/>
      <c r="X306" s="558"/>
      <c r="Y306" s="558"/>
      <c r="Z306" s="558"/>
      <c r="AA306" s="558"/>
      <c r="AB306" s="558"/>
      <c r="AC306" s="558"/>
      <c r="AD306" s="558"/>
      <c r="AE306" s="558"/>
      <c r="AF306" s="558"/>
      <c r="AG306" s="558"/>
      <c r="AH306" s="558"/>
      <c r="AI306" s="558"/>
    </row>
    <row r="307" spans="2:35">
      <c r="B307" s="558"/>
      <c r="C307" s="558"/>
      <c r="D307" s="558"/>
      <c r="E307" s="558"/>
      <c r="F307" s="558"/>
      <c r="G307" s="558"/>
      <c r="H307" s="558"/>
      <c r="I307" s="558"/>
      <c r="J307" s="558"/>
      <c r="K307" s="558"/>
      <c r="L307" s="558"/>
      <c r="M307" s="558"/>
      <c r="N307" s="558"/>
      <c r="O307" s="558"/>
      <c r="P307" s="558"/>
      <c r="Q307" s="558"/>
      <c r="R307" s="558"/>
      <c r="S307" s="558"/>
      <c r="T307" s="558"/>
      <c r="U307" s="558"/>
      <c r="V307" s="558"/>
      <c r="W307" s="558"/>
      <c r="X307" s="558"/>
      <c r="Y307" s="558"/>
      <c r="Z307" s="558"/>
      <c r="AA307" s="558"/>
      <c r="AB307" s="558"/>
      <c r="AC307" s="558"/>
      <c r="AD307" s="558"/>
      <c r="AE307" s="558"/>
      <c r="AF307" s="558"/>
      <c r="AG307" s="558"/>
      <c r="AH307" s="558"/>
      <c r="AI307" s="558"/>
    </row>
    <row r="308" spans="2:35">
      <c r="B308" s="558"/>
      <c r="C308" s="558"/>
      <c r="D308" s="558"/>
      <c r="E308" s="558"/>
      <c r="F308" s="558"/>
      <c r="G308" s="558"/>
      <c r="H308" s="558"/>
      <c r="I308" s="558"/>
      <c r="J308" s="558"/>
      <c r="K308" s="558"/>
      <c r="L308" s="558"/>
      <c r="M308" s="558"/>
      <c r="N308" s="558"/>
      <c r="O308" s="558"/>
      <c r="P308" s="558"/>
      <c r="Q308" s="558"/>
      <c r="R308" s="558"/>
      <c r="S308" s="558"/>
      <c r="T308" s="558"/>
      <c r="U308" s="558"/>
      <c r="V308" s="558"/>
      <c r="W308" s="558"/>
      <c r="X308" s="558"/>
      <c r="Y308" s="558"/>
      <c r="Z308" s="558"/>
      <c r="AA308" s="558"/>
      <c r="AB308" s="558"/>
      <c r="AC308" s="558"/>
      <c r="AD308" s="558"/>
      <c r="AE308" s="558"/>
      <c r="AF308" s="558"/>
      <c r="AG308" s="558"/>
      <c r="AH308" s="558"/>
      <c r="AI308" s="558"/>
    </row>
    <row r="309" spans="2:35">
      <c r="B309" s="558"/>
      <c r="C309" s="558"/>
      <c r="D309" s="558"/>
      <c r="E309" s="558"/>
      <c r="F309" s="558"/>
      <c r="G309" s="558"/>
      <c r="H309" s="558"/>
      <c r="I309" s="558"/>
      <c r="J309" s="558"/>
      <c r="K309" s="558"/>
      <c r="L309" s="558"/>
      <c r="M309" s="558"/>
      <c r="N309" s="558"/>
      <c r="O309" s="558"/>
      <c r="P309" s="558"/>
      <c r="Q309" s="558"/>
      <c r="R309" s="558"/>
      <c r="S309" s="558"/>
      <c r="T309" s="558"/>
      <c r="U309" s="558"/>
      <c r="V309" s="558"/>
      <c r="W309" s="558"/>
      <c r="X309" s="558"/>
      <c r="Y309" s="558"/>
      <c r="Z309" s="558"/>
      <c r="AA309" s="558"/>
      <c r="AB309" s="558"/>
      <c r="AC309" s="558"/>
      <c r="AD309" s="558"/>
      <c r="AE309" s="558"/>
      <c r="AF309" s="558"/>
      <c r="AG309" s="558"/>
      <c r="AH309" s="558"/>
      <c r="AI309" s="558"/>
    </row>
    <row r="310" spans="2:35">
      <c r="B310" s="558"/>
      <c r="C310" s="558"/>
      <c r="D310" s="558"/>
      <c r="E310" s="558"/>
      <c r="F310" s="558"/>
      <c r="G310" s="558"/>
      <c r="H310" s="558"/>
      <c r="I310" s="558"/>
      <c r="J310" s="558"/>
      <c r="K310" s="558"/>
      <c r="L310" s="558"/>
      <c r="M310" s="558"/>
      <c r="N310" s="558"/>
      <c r="O310" s="558"/>
      <c r="P310" s="558"/>
      <c r="Q310" s="558"/>
      <c r="R310" s="558"/>
      <c r="S310" s="558"/>
      <c r="T310" s="558"/>
      <c r="U310" s="558"/>
      <c r="V310" s="558"/>
      <c r="W310" s="558"/>
      <c r="X310" s="558"/>
      <c r="Y310" s="558"/>
      <c r="Z310" s="558"/>
      <c r="AA310" s="558"/>
      <c r="AB310" s="558"/>
      <c r="AC310" s="558"/>
      <c r="AD310" s="558"/>
      <c r="AE310" s="558"/>
      <c r="AF310" s="558"/>
      <c r="AG310" s="558"/>
      <c r="AH310" s="558"/>
      <c r="AI310" s="558"/>
    </row>
    <row r="311" spans="2:35">
      <c r="B311" s="558"/>
      <c r="C311" s="558"/>
      <c r="D311" s="558"/>
      <c r="E311" s="558"/>
      <c r="F311" s="558"/>
      <c r="G311" s="558"/>
      <c r="H311" s="558"/>
      <c r="I311" s="558"/>
      <c r="J311" s="558"/>
      <c r="K311" s="558"/>
      <c r="L311" s="558"/>
      <c r="M311" s="558"/>
      <c r="N311" s="558"/>
      <c r="O311" s="558"/>
      <c r="P311" s="558"/>
      <c r="Q311" s="558"/>
      <c r="R311" s="558"/>
      <c r="S311" s="558"/>
      <c r="T311" s="558"/>
      <c r="U311" s="558"/>
      <c r="V311" s="558"/>
      <c r="W311" s="558"/>
      <c r="X311" s="558"/>
      <c r="Y311" s="558"/>
      <c r="Z311" s="558"/>
      <c r="AA311" s="558"/>
      <c r="AB311" s="558"/>
      <c r="AC311" s="558"/>
      <c r="AD311" s="558"/>
      <c r="AE311" s="558"/>
      <c r="AF311" s="558"/>
      <c r="AG311" s="558"/>
      <c r="AH311" s="558"/>
      <c r="AI311" s="558"/>
    </row>
    <row r="312" spans="2:35">
      <c r="B312" s="558"/>
      <c r="C312" s="558"/>
      <c r="D312" s="558"/>
      <c r="E312" s="558"/>
      <c r="F312" s="558"/>
      <c r="G312" s="558"/>
      <c r="H312" s="558"/>
      <c r="I312" s="558"/>
      <c r="J312" s="558"/>
      <c r="K312" s="558"/>
      <c r="L312" s="558"/>
      <c r="M312" s="558"/>
      <c r="N312" s="558"/>
      <c r="O312" s="558"/>
      <c r="P312" s="558"/>
      <c r="Q312" s="558"/>
      <c r="R312" s="558"/>
      <c r="S312" s="558"/>
      <c r="T312" s="558"/>
      <c r="U312" s="558"/>
      <c r="V312" s="558"/>
      <c r="W312" s="558"/>
      <c r="X312" s="558"/>
      <c r="Y312" s="558"/>
      <c r="Z312" s="558"/>
      <c r="AA312" s="558"/>
      <c r="AB312" s="558"/>
      <c r="AC312" s="558"/>
      <c r="AD312" s="558"/>
      <c r="AE312" s="558"/>
      <c r="AF312" s="558"/>
      <c r="AG312" s="558"/>
      <c r="AH312" s="558"/>
      <c r="AI312" s="558"/>
    </row>
    <row r="313" spans="2:35">
      <c r="B313" s="558"/>
      <c r="C313" s="558"/>
      <c r="D313" s="558"/>
      <c r="E313" s="558"/>
      <c r="F313" s="558"/>
      <c r="G313" s="558"/>
      <c r="H313" s="558"/>
      <c r="I313" s="558"/>
      <c r="J313" s="558"/>
      <c r="K313" s="558"/>
      <c r="L313" s="558"/>
      <c r="M313" s="558"/>
      <c r="N313" s="558"/>
      <c r="O313" s="558"/>
      <c r="P313" s="558"/>
      <c r="Q313" s="558"/>
      <c r="R313" s="558"/>
      <c r="S313" s="558"/>
      <c r="T313" s="558"/>
      <c r="U313" s="558"/>
      <c r="V313" s="558"/>
      <c r="W313" s="558"/>
      <c r="X313" s="558"/>
      <c r="Y313" s="558"/>
      <c r="Z313" s="558"/>
      <c r="AA313" s="558"/>
      <c r="AB313" s="558"/>
      <c r="AC313" s="558"/>
      <c r="AD313" s="558"/>
      <c r="AE313" s="558"/>
      <c r="AF313" s="558"/>
      <c r="AG313" s="558"/>
      <c r="AH313" s="558"/>
      <c r="AI313" s="558"/>
    </row>
    <row r="314" spans="2:35">
      <c r="B314" s="558"/>
      <c r="C314" s="558"/>
      <c r="D314" s="558"/>
      <c r="E314" s="558"/>
      <c r="F314" s="558"/>
      <c r="G314" s="558"/>
      <c r="H314" s="558"/>
      <c r="I314" s="558"/>
      <c r="J314" s="558"/>
      <c r="K314" s="558"/>
      <c r="L314" s="558"/>
      <c r="M314" s="558"/>
      <c r="N314" s="558"/>
      <c r="O314" s="558"/>
      <c r="P314" s="558"/>
      <c r="Q314" s="558"/>
      <c r="R314" s="558"/>
      <c r="S314" s="558"/>
      <c r="T314" s="558"/>
      <c r="U314" s="558"/>
      <c r="V314" s="558"/>
      <c r="W314" s="558"/>
      <c r="X314" s="558"/>
      <c r="Y314" s="558"/>
      <c r="Z314" s="558"/>
      <c r="AA314" s="558"/>
      <c r="AB314" s="558"/>
      <c r="AC314" s="558"/>
      <c r="AD314" s="558"/>
      <c r="AE314" s="558"/>
      <c r="AF314" s="558"/>
      <c r="AG314" s="558"/>
      <c r="AH314" s="558"/>
      <c r="AI314" s="558"/>
    </row>
    <row r="315" spans="2:35">
      <c r="B315" s="558"/>
      <c r="C315" s="558"/>
      <c r="D315" s="558"/>
      <c r="E315" s="558"/>
      <c r="F315" s="558"/>
      <c r="G315" s="558"/>
      <c r="H315" s="558"/>
      <c r="I315" s="558"/>
      <c r="J315" s="558"/>
      <c r="K315" s="558"/>
      <c r="L315" s="558"/>
      <c r="M315" s="558"/>
      <c r="N315" s="558"/>
      <c r="O315" s="558"/>
      <c r="P315" s="558"/>
      <c r="Q315" s="558"/>
      <c r="R315" s="558"/>
      <c r="S315" s="558"/>
      <c r="T315" s="558"/>
      <c r="U315" s="558"/>
      <c r="V315" s="558"/>
      <c r="W315" s="558"/>
      <c r="X315" s="558"/>
      <c r="Y315" s="558"/>
      <c r="Z315" s="558"/>
      <c r="AA315" s="558"/>
      <c r="AB315" s="558"/>
      <c r="AC315" s="558"/>
      <c r="AD315" s="558"/>
      <c r="AE315" s="558"/>
      <c r="AF315" s="558"/>
      <c r="AG315" s="558"/>
      <c r="AH315" s="558"/>
      <c r="AI315" s="558"/>
    </row>
    <row r="316" spans="2:35">
      <c r="B316" s="558"/>
      <c r="C316" s="558"/>
      <c r="D316" s="558"/>
      <c r="E316" s="558"/>
      <c r="F316" s="558"/>
      <c r="G316" s="558"/>
      <c r="H316" s="558"/>
      <c r="I316" s="558"/>
      <c r="J316" s="558"/>
      <c r="K316" s="558"/>
      <c r="L316" s="558"/>
      <c r="M316" s="558"/>
      <c r="N316" s="558"/>
      <c r="O316" s="558"/>
      <c r="P316" s="558"/>
      <c r="Q316" s="558"/>
      <c r="R316" s="558"/>
      <c r="S316" s="558"/>
      <c r="T316" s="558"/>
      <c r="U316" s="558"/>
      <c r="V316" s="558"/>
      <c r="W316" s="558"/>
      <c r="X316" s="558"/>
      <c r="Y316" s="558"/>
      <c r="Z316" s="558"/>
      <c r="AA316" s="558"/>
      <c r="AB316" s="558"/>
      <c r="AC316" s="558"/>
      <c r="AD316" s="558"/>
      <c r="AE316" s="558"/>
      <c r="AF316" s="558"/>
      <c r="AG316" s="558"/>
      <c r="AH316" s="558"/>
      <c r="AI316" s="558"/>
    </row>
    <row r="317" spans="2:35">
      <c r="B317" s="558"/>
      <c r="C317" s="558"/>
      <c r="D317" s="558"/>
      <c r="E317" s="558"/>
      <c r="F317" s="558"/>
      <c r="G317" s="558"/>
      <c r="H317" s="558"/>
      <c r="I317" s="558"/>
      <c r="J317" s="558"/>
      <c r="K317" s="558"/>
      <c r="L317" s="558"/>
      <c r="M317" s="558"/>
      <c r="N317" s="558"/>
      <c r="O317" s="558"/>
      <c r="P317" s="558"/>
      <c r="Q317" s="558"/>
      <c r="R317" s="558"/>
      <c r="S317" s="558"/>
      <c r="T317" s="558"/>
      <c r="U317" s="558"/>
      <c r="V317" s="558"/>
      <c r="W317" s="558"/>
      <c r="X317" s="558"/>
      <c r="Y317" s="558"/>
      <c r="Z317" s="558"/>
      <c r="AA317" s="558"/>
      <c r="AB317" s="558"/>
      <c r="AC317" s="558"/>
      <c r="AD317" s="558"/>
      <c r="AE317" s="558"/>
      <c r="AF317" s="558"/>
      <c r="AG317" s="558"/>
      <c r="AH317" s="558"/>
      <c r="AI317" s="558"/>
    </row>
    <row r="318" spans="2:35">
      <c r="B318" s="558"/>
      <c r="C318" s="558"/>
      <c r="D318" s="558"/>
      <c r="E318" s="558"/>
      <c r="F318" s="558"/>
      <c r="G318" s="558"/>
      <c r="H318" s="558"/>
      <c r="I318" s="558"/>
      <c r="J318" s="558"/>
      <c r="K318" s="558"/>
      <c r="L318" s="558"/>
      <c r="M318" s="558"/>
      <c r="N318" s="558"/>
      <c r="O318" s="558"/>
      <c r="P318" s="558"/>
      <c r="Q318" s="558"/>
      <c r="R318" s="558"/>
      <c r="S318" s="558"/>
      <c r="T318" s="558"/>
      <c r="U318" s="558"/>
      <c r="V318" s="558"/>
      <c r="W318" s="558"/>
      <c r="X318" s="558"/>
      <c r="Y318" s="558"/>
      <c r="Z318" s="558"/>
      <c r="AA318" s="558"/>
      <c r="AB318" s="558"/>
      <c r="AC318" s="558"/>
      <c r="AD318" s="558"/>
      <c r="AE318" s="558"/>
      <c r="AF318" s="558"/>
      <c r="AG318" s="558"/>
      <c r="AH318" s="558"/>
      <c r="AI318" s="558"/>
    </row>
    <row r="319" spans="2:35">
      <c r="B319" s="558"/>
      <c r="C319" s="558"/>
      <c r="D319" s="558"/>
      <c r="E319" s="558"/>
      <c r="F319" s="558"/>
      <c r="G319" s="558"/>
      <c r="H319" s="558"/>
      <c r="I319" s="558"/>
      <c r="J319" s="558"/>
      <c r="K319" s="558"/>
      <c r="L319" s="558"/>
      <c r="M319" s="558"/>
      <c r="N319" s="558"/>
      <c r="O319" s="558"/>
      <c r="P319" s="558"/>
      <c r="Q319" s="558"/>
      <c r="R319" s="558"/>
      <c r="S319" s="558"/>
      <c r="T319" s="558"/>
      <c r="U319" s="558"/>
      <c r="V319" s="558"/>
      <c r="W319" s="558"/>
      <c r="X319" s="558"/>
      <c r="Y319" s="558"/>
      <c r="Z319" s="558"/>
      <c r="AA319" s="558"/>
      <c r="AB319" s="558"/>
      <c r="AC319" s="558"/>
      <c r="AD319" s="558"/>
      <c r="AE319" s="558"/>
      <c r="AF319" s="558"/>
      <c r="AG319" s="558"/>
      <c r="AH319" s="558"/>
      <c r="AI319" s="558"/>
    </row>
    <row r="320" spans="2:35">
      <c r="B320" s="558"/>
      <c r="C320" s="558"/>
      <c r="D320" s="558"/>
      <c r="E320" s="558"/>
      <c r="F320" s="558"/>
      <c r="G320" s="558"/>
      <c r="H320" s="558"/>
      <c r="I320" s="558"/>
      <c r="J320" s="558"/>
      <c r="K320" s="558"/>
      <c r="L320" s="558"/>
      <c r="M320" s="558"/>
      <c r="N320" s="558"/>
      <c r="O320" s="558"/>
      <c r="P320" s="558"/>
      <c r="Q320" s="558"/>
      <c r="R320" s="558"/>
      <c r="S320" s="558"/>
      <c r="T320" s="558"/>
      <c r="U320" s="558"/>
      <c r="V320" s="558"/>
      <c r="W320" s="558"/>
      <c r="X320" s="558"/>
      <c r="Y320" s="558"/>
      <c r="Z320" s="558"/>
      <c r="AA320" s="558"/>
      <c r="AB320" s="558"/>
      <c r="AC320" s="558"/>
      <c r="AD320" s="558"/>
      <c r="AE320" s="558"/>
      <c r="AF320" s="558"/>
      <c r="AG320" s="558"/>
      <c r="AH320" s="558"/>
      <c r="AI320" s="558"/>
    </row>
    <row r="321" spans="2:35">
      <c r="B321" s="558"/>
      <c r="C321" s="558"/>
      <c r="D321" s="558"/>
      <c r="E321" s="558"/>
      <c r="F321" s="558"/>
      <c r="G321" s="558"/>
      <c r="H321" s="558"/>
      <c r="I321" s="558"/>
      <c r="J321" s="558"/>
      <c r="K321" s="558"/>
      <c r="L321" s="558"/>
      <c r="M321" s="558"/>
      <c r="N321" s="558"/>
      <c r="O321" s="558"/>
      <c r="P321" s="558"/>
      <c r="Q321" s="558"/>
      <c r="R321" s="558"/>
      <c r="S321" s="558"/>
      <c r="T321" s="558"/>
      <c r="U321" s="558"/>
      <c r="V321" s="558"/>
      <c r="W321" s="558"/>
      <c r="X321" s="558"/>
      <c r="Y321" s="558"/>
      <c r="Z321" s="558"/>
      <c r="AA321" s="558"/>
      <c r="AB321" s="558"/>
      <c r="AC321" s="558"/>
      <c r="AD321" s="558"/>
      <c r="AE321" s="558"/>
      <c r="AF321" s="558"/>
      <c r="AG321" s="558"/>
      <c r="AH321" s="558"/>
      <c r="AI321" s="558"/>
    </row>
    <row r="322" spans="2:35">
      <c r="B322" s="558"/>
      <c r="C322" s="558"/>
      <c r="D322" s="558"/>
      <c r="E322" s="558"/>
      <c r="F322" s="558"/>
      <c r="G322" s="558"/>
      <c r="H322" s="558"/>
      <c r="I322" s="558"/>
      <c r="J322" s="558"/>
      <c r="K322" s="558"/>
      <c r="L322" s="558"/>
      <c r="M322" s="558"/>
      <c r="N322" s="558"/>
      <c r="O322" s="558"/>
      <c r="P322" s="558"/>
      <c r="Q322" s="558"/>
      <c r="R322" s="558"/>
      <c r="S322" s="558"/>
      <c r="T322" s="558"/>
      <c r="U322" s="558"/>
      <c r="V322" s="558"/>
      <c r="W322" s="558"/>
      <c r="X322" s="558"/>
      <c r="Y322" s="558"/>
      <c r="Z322" s="558"/>
      <c r="AA322" s="558"/>
      <c r="AB322" s="558"/>
      <c r="AC322" s="558"/>
      <c r="AD322" s="558"/>
      <c r="AE322" s="558"/>
      <c r="AF322" s="558"/>
      <c r="AG322" s="558"/>
      <c r="AH322" s="558"/>
      <c r="AI322" s="558"/>
    </row>
    <row r="323" spans="2:35">
      <c r="B323" s="558"/>
      <c r="C323" s="558"/>
      <c r="D323" s="558"/>
      <c r="E323" s="558"/>
      <c r="F323" s="558"/>
      <c r="G323" s="558"/>
      <c r="H323" s="558"/>
      <c r="I323" s="558"/>
      <c r="J323" s="558"/>
      <c r="K323" s="558"/>
      <c r="L323" s="558"/>
      <c r="M323" s="558"/>
      <c r="N323" s="558"/>
      <c r="O323" s="558"/>
      <c r="P323" s="558"/>
      <c r="Q323" s="558"/>
      <c r="R323" s="558"/>
      <c r="S323" s="558"/>
      <c r="T323" s="558"/>
      <c r="U323" s="558"/>
      <c r="V323" s="558"/>
      <c r="W323" s="558"/>
      <c r="X323" s="558"/>
      <c r="Y323" s="558"/>
      <c r="Z323" s="558"/>
      <c r="AA323" s="558"/>
      <c r="AB323" s="558"/>
      <c r="AC323" s="558"/>
      <c r="AD323" s="558"/>
      <c r="AE323" s="558"/>
      <c r="AF323" s="558"/>
      <c r="AG323" s="558"/>
      <c r="AH323" s="558"/>
      <c r="AI323" s="558"/>
    </row>
    <row r="324" spans="2:35">
      <c r="B324" s="558"/>
      <c r="C324" s="558"/>
      <c r="D324" s="558"/>
      <c r="E324" s="558"/>
      <c r="F324" s="558"/>
      <c r="G324" s="558"/>
      <c r="H324" s="558"/>
      <c r="I324" s="558"/>
      <c r="J324" s="558"/>
      <c r="K324" s="558"/>
      <c r="L324" s="558"/>
      <c r="M324" s="558"/>
      <c r="N324" s="558"/>
      <c r="O324" s="558"/>
      <c r="P324" s="558"/>
      <c r="Q324" s="558"/>
      <c r="R324" s="558"/>
      <c r="S324" s="558"/>
      <c r="T324" s="558"/>
      <c r="U324" s="558"/>
      <c r="V324" s="558"/>
      <c r="W324" s="558"/>
      <c r="X324" s="558"/>
      <c r="Y324" s="558"/>
      <c r="Z324" s="558"/>
      <c r="AA324" s="558"/>
      <c r="AB324" s="558"/>
      <c r="AC324" s="558"/>
      <c r="AD324" s="558"/>
      <c r="AE324" s="558"/>
      <c r="AF324" s="558"/>
      <c r="AG324" s="558"/>
      <c r="AH324" s="558"/>
      <c r="AI324" s="558"/>
    </row>
    <row r="325" spans="2:35">
      <c r="B325" s="558"/>
      <c r="C325" s="558"/>
      <c r="D325" s="558"/>
      <c r="E325" s="558"/>
      <c r="F325" s="558"/>
      <c r="G325" s="558"/>
      <c r="H325" s="558"/>
      <c r="I325" s="558"/>
      <c r="J325" s="558"/>
      <c r="K325" s="558"/>
      <c r="L325" s="558"/>
      <c r="M325" s="558"/>
      <c r="N325" s="558"/>
      <c r="O325" s="558"/>
      <c r="P325" s="558"/>
      <c r="Q325" s="558"/>
      <c r="R325" s="558"/>
      <c r="S325" s="558"/>
      <c r="T325" s="558"/>
      <c r="U325" s="558"/>
      <c r="V325" s="558"/>
      <c r="W325" s="558"/>
      <c r="X325" s="558"/>
      <c r="Y325" s="558"/>
      <c r="Z325" s="558"/>
      <c r="AA325" s="558"/>
      <c r="AB325" s="558"/>
      <c r="AC325" s="558"/>
      <c r="AD325" s="558"/>
      <c r="AE325" s="558"/>
      <c r="AF325" s="558"/>
      <c r="AG325" s="558"/>
      <c r="AH325" s="558"/>
      <c r="AI325" s="558"/>
    </row>
    <row r="326" spans="2:35">
      <c r="B326" s="558"/>
      <c r="C326" s="558"/>
      <c r="D326" s="558"/>
      <c r="E326" s="558"/>
      <c r="F326" s="558"/>
      <c r="G326" s="558"/>
      <c r="H326" s="558"/>
      <c r="I326" s="558"/>
      <c r="J326" s="558"/>
      <c r="K326" s="558"/>
      <c r="L326" s="558"/>
      <c r="M326" s="558"/>
      <c r="N326" s="558"/>
      <c r="O326" s="558"/>
      <c r="P326" s="558"/>
      <c r="Q326" s="558"/>
      <c r="R326" s="558"/>
      <c r="S326" s="558"/>
      <c r="T326" s="558"/>
      <c r="U326" s="558"/>
      <c r="V326" s="558"/>
      <c r="W326" s="558"/>
      <c r="X326" s="558"/>
      <c r="Y326" s="558"/>
      <c r="Z326" s="558"/>
      <c r="AA326" s="558"/>
      <c r="AB326" s="558"/>
      <c r="AC326" s="558"/>
      <c r="AD326" s="558"/>
      <c r="AE326" s="558"/>
      <c r="AF326" s="558"/>
      <c r="AG326" s="558"/>
      <c r="AH326" s="558"/>
      <c r="AI326" s="558"/>
    </row>
    <row r="327" spans="2:35">
      <c r="B327" s="558"/>
      <c r="C327" s="558"/>
      <c r="D327" s="558"/>
      <c r="E327" s="558"/>
      <c r="F327" s="558"/>
      <c r="G327" s="558"/>
      <c r="H327" s="558"/>
      <c r="I327" s="558"/>
      <c r="J327" s="558"/>
      <c r="K327" s="558"/>
      <c r="L327" s="558"/>
      <c r="M327" s="558"/>
      <c r="N327" s="558"/>
      <c r="O327" s="558"/>
      <c r="P327" s="558"/>
      <c r="Q327" s="558"/>
      <c r="R327" s="558"/>
      <c r="S327" s="558"/>
      <c r="T327" s="558"/>
      <c r="U327" s="558"/>
      <c r="V327" s="558"/>
      <c r="W327" s="558"/>
      <c r="X327" s="558"/>
      <c r="Y327" s="558"/>
      <c r="Z327" s="558"/>
      <c r="AA327" s="558"/>
      <c r="AB327" s="558"/>
      <c r="AC327" s="558"/>
      <c r="AD327" s="558"/>
      <c r="AE327" s="558"/>
      <c r="AF327" s="558"/>
      <c r="AG327" s="558"/>
      <c r="AH327" s="558"/>
      <c r="AI327" s="558"/>
    </row>
    <row r="328" spans="2:35">
      <c r="B328" s="558"/>
      <c r="C328" s="558"/>
      <c r="D328" s="558"/>
      <c r="E328" s="558"/>
      <c r="F328" s="558"/>
      <c r="G328" s="558"/>
      <c r="H328" s="558"/>
      <c r="I328" s="558"/>
      <c r="J328" s="558"/>
      <c r="K328" s="558"/>
      <c r="L328" s="558"/>
      <c r="M328" s="558"/>
      <c r="N328" s="558"/>
      <c r="O328" s="558"/>
      <c r="P328" s="558"/>
      <c r="Q328" s="558"/>
      <c r="R328" s="558"/>
      <c r="S328" s="558"/>
      <c r="T328" s="558"/>
      <c r="U328" s="558"/>
      <c r="V328" s="558"/>
      <c r="W328" s="558"/>
      <c r="X328" s="558"/>
      <c r="Y328" s="558"/>
      <c r="Z328" s="558"/>
      <c r="AA328" s="558"/>
      <c r="AB328" s="558"/>
      <c r="AC328" s="558"/>
      <c r="AD328" s="558"/>
      <c r="AE328" s="558"/>
      <c r="AF328" s="558"/>
      <c r="AG328" s="558"/>
      <c r="AH328" s="558"/>
      <c r="AI328" s="558"/>
    </row>
    <row r="329" spans="2:35">
      <c r="B329" s="558"/>
      <c r="C329" s="558"/>
      <c r="D329" s="558"/>
      <c r="E329" s="558"/>
      <c r="F329" s="558"/>
      <c r="G329" s="558"/>
      <c r="H329" s="558"/>
      <c r="I329" s="558"/>
      <c r="J329" s="558"/>
      <c r="K329" s="558"/>
      <c r="L329" s="558"/>
      <c r="M329" s="558"/>
      <c r="N329" s="558"/>
      <c r="O329" s="558"/>
      <c r="P329" s="558"/>
      <c r="Q329" s="558"/>
      <c r="R329" s="558"/>
      <c r="S329" s="558"/>
      <c r="T329" s="558"/>
      <c r="U329" s="558"/>
      <c r="V329" s="558"/>
      <c r="W329" s="558"/>
      <c r="X329" s="558"/>
      <c r="Y329" s="558"/>
      <c r="Z329" s="558"/>
      <c r="AA329" s="558"/>
      <c r="AB329" s="558"/>
      <c r="AC329" s="558"/>
      <c r="AD329" s="558"/>
      <c r="AE329" s="558"/>
      <c r="AF329" s="558"/>
      <c r="AG329" s="558"/>
      <c r="AH329" s="558"/>
      <c r="AI329" s="558"/>
    </row>
    <row r="330" spans="2:35">
      <c r="B330" s="558"/>
      <c r="C330" s="558"/>
      <c r="D330" s="558"/>
      <c r="E330" s="558"/>
      <c r="F330" s="558"/>
      <c r="G330" s="558"/>
      <c r="H330" s="558"/>
      <c r="I330" s="558"/>
      <c r="J330" s="558"/>
      <c r="K330" s="558"/>
      <c r="L330" s="558"/>
      <c r="M330" s="558"/>
      <c r="N330" s="558"/>
      <c r="O330" s="558"/>
      <c r="P330" s="558"/>
      <c r="Q330" s="558"/>
      <c r="R330" s="558"/>
      <c r="S330" s="558"/>
      <c r="T330" s="558"/>
      <c r="U330" s="558"/>
      <c r="V330" s="558"/>
      <c r="W330" s="558"/>
      <c r="X330" s="558"/>
      <c r="Y330" s="558"/>
      <c r="Z330" s="558"/>
      <c r="AA330" s="558"/>
      <c r="AB330" s="558"/>
      <c r="AC330" s="558"/>
      <c r="AD330" s="558"/>
      <c r="AE330" s="558"/>
      <c r="AF330" s="558"/>
      <c r="AG330" s="558"/>
      <c r="AH330" s="558"/>
      <c r="AI330" s="558"/>
    </row>
    <row r="331" spans="2:35">
      <c r="B331" s="558"/>
      <c r="C331" s="558"/>
      <c r="D331" s="558"/>
      <c r="E331" s="558"/>
      <c r="F331" s="558"/>
      <c r="G331" s="558"/>
      <c r="H331" s="558"/>
      <c r="I331" s="558"/>
      <c r="J331" s="558"/>
      <c r="K331" s="558"/>
      <c r="L331" s="558"/>
      <c r="M331" s="558"/>
      <c r="N331" s="558"/>
      <c r="O331" s="558"/>
      <c r="P331" s="558"/>
      <c r="Q331" s="558"/>
      <c r="R331" s="558"/>
      <c r="S331" s="558"/>
      <c r="T331" s="558"/>
      <c r="U331" s="558"/>
      <c r="V331" s="558"/>
      <c r="W331" s="558"/>
      <c r="X331" s="558"/>
      <c r="Y331" s="558"/>
      <c r="Z331" s="558"/>
      <c r="AA331" s="558"/>
      <c r="AB331" s="558"/>
      <c r="AC331" s="558"/>
      <c r="AD331" s="558"/>
      <c r="AE331" s="558"/>
      <c r="AF331" s="558"/>
      <c r="AG331" s="558"/>
      <c r="AH331" s="558"/>
      <c r="AI331" s="558"/>
    </row>
    <row r="332" spans="2:35">
      <c r="B332" s="558"/>
      <c r="C332" s="558"/>
      <c r="D332" s="558"/>
      <c r="E332" s="558"/>
      <c r="F332" s="558"/>
      <c r="G332" s="558"/>
      <c r="H332" s="558"/>
      <c r="I332" s="558"/>
      <c r="J332" s="558"/>
      <c r="K332" s="558"/>
      <c r="L332" s="558"/>
      <c r="M332" s="558"/>
      <c r="N332" s="558"/>
      <c r="O332" s="558"/>
      <c r="P332" s="558"/>
      <c r="Q332" s="558"/>
      <c r="R332" s="558"/>
      <c r="S332" s="558"/>
      <c r="T332" s="558"/>
      <c r="U332" s="558"/>
      <c r="V332" s="558"/>
      <c r="W332" s="558"/>
      <c r="X332" s="558"/>
      <c r="Y332" s="558"/>
      <c r="Z332" s="558"/>
      <c r="AA332" s="558"/>
      <c r="AB332" s="558"/>
      <c r="AC332" s="558"/>
      <c r="AD332" s="558"/>
      <c r="AE332" s="558"/>
      <c r="AF332" s="558"/>
      <c r="AG332" s="558"/>
      <c r="AH332" s="558"/>
      <c r="AI332" s="558"/>
    </row>
    <row r="333" spans="2:35">
      <c r="B333" s="558"/>
      <c r="C333" s="558"/>
      <c r="D333" s="558"/>
      <c r="E333" s="558"/>
      <c r="F333" s="558"/>
      <c r="G333" s="558"/>
      <c r="H333" s="558"/>
      <c r="I333" s="558"/>
      <c r="J333" s="558"/>
      <c r="K333" s="558"/>
      <c r="L333" s="558"/>
      <c r="M333" s="558"/>
      <c r="N333" s="558"/>
      <c r="O333" s="558"/>
      <c r="P333" s="558"/>
      <c r="Q333" s="558"/>
      <c r="R333" s="558"/>
      <c r="S333" s="558"/>
      <c r="T333" s="558"/>
      <c r="U333" s="558"/>
      <c r="V333" s="558"/>
      <c r="W333" s="558"/>
      <c r="X333" s="558"/>
      <c r="Y333" s="558"/>
      <c r="Z333" s="558"/>
      <c r="AA333" s="558"/>
      <c r="AB333" s="558"/>
      <c r="AC333" s="558"/>
      <c r="AD333" s="558"/>
      <c r="AE333" s="558"/>
      <c r="AF333" s="558"/>
      <c r="AG333" s="558"/>
      <c r="AH333" s="558"/>
      <c r="AI333" s="558"/>
    </row>
    <row r="334" spans="2:35">
      <c r="B334" s="558"/>
      <c r="C334" s="558"/>
      <c r="D334" s="558"/>
      <c r="E334" s="558"/>
      <c r="F334" s="558"/>
      <c r="G334" s="558"/>
      <c r="H334" s="558"/>
      <c r="I334" s="558"/>
      <c r="J334" s="558"/>
      <c r="K334" s="558"/>
      <c r="L334" s="558"/>
      <c r="M334" s="558"/>
      <c r="N334" s="558"/>
      <c r="O334" s="558"/>
      <c r="P334" s="558"/>
      <c r="Q334" s="558"/>
      <c r="R334" s="558"/>
      <c r="S334" s="558"/>
      <c r="T334" s="558"/>
      <c r="U334" s="558"/>
      <c r="V334" s="558"/>
      <c r="W334" s="558"/>
      <c r="X334" s="558"/>
      <c r="Y334" s="558"/>
      <c r="Z334" s="558"/>
      <c r="AA334" s="558"/>
      <c r="AB334" s="558"/>
      <c r="AC334" s="558"/>
      <c r="AD334" s="558"/>
      <c r="AE334" s="558"/>
      <c r="AF334" s="558"/>
      <c r="AG334" s="558"/>
      <c r="AH334" s="558"/>
      <c r="AI334" s="558"/>
    </row>
    <row r="335" spans="2:35">
      <c r="B335" s="558"/>
      <c r="C335" s="558"/>
      <c r="D335" s="558"/>
      <c r="E335" s="558"/>
      <c r="F335" s="558"/>
      <c r="G335" s="558"/>
      <c r="H335" s="558"/>
      <c r="I335" s="558"/>
      <c r="J335" s="558"/>
      <c r="K335" s="558"/>
      <c r="L335" s="558"/>
      <c r="M335" s="558"/>
      <c r="N335" s="558"/>
      <c r="O335" s="558"/>
      <c r="P335" s="558"/>
      <c r="Q335" s="558"/>
      <c r="R335" s="558"/>
      <c r="S335" s="558"/>
      <c r="T335" s="558"/>
      <c r="U335" s="558"/>
      <c r="V335" s="558"/>
      <c r="W335" s="558"/>
      <c r="X335" s="558"/>
      <c r="Y335" s="558"/>
      <c r="Z335" s="558"/>
      <c r="AA335" s="558"/>
      <c r="AB335" s="558"/>
      <c r="AC335" s="558"/>
      <c r="AD335" s="558"/>
      <c r="AE335" s="558"/>
      <c r="AF335" s="558"/>
      <c r="AG335" s="558"/>
      <c r="AH335" s="558"/>
      <c r="AI335" s="558"/>
    </row>
    <row r="336" spans="2:35">
      <c r="B336" s="558"/>
      <c r="C336" s="558"/>
      <c r="D336" s="558"/>
      <c r="E336" s="558"/>
      <c r="F336" s="558"/>
      <c r="G336" s="558"/>
      <c r="H336" s="558"/>
      <c r="I336" s="558"/>
      <c r="J336" s="558"/>
      <c r="K336" s="558"/>
      <c r="L336" s="558"/>
      <c r="M336" s="558"/>
      <c r="N336" s="558"/>
      <c r="O336" s="558"/>
      <c r="P336" s="558"/>
      <c r="Q336" s="558"/>
      <c r="R336" s="558"/>
      <c r="S336" s="558"/>
      <c r="T336" s="558"/>
      <c r="U336" s="558"/>
      <c r="V336" s="558"/>
      <c r="W336" s="558"/>
      <c r="X336" s="558"/>
      <c r="Y336" s="558"/>
      <c r="Z336" s="558"/>
      <c r="AA336" s="558"/>
      <c r="AB336" s="558"/>
      <c r="AC336" s="558"/>
      <c r="AD336" s="558"/>
      <c r="AE336" s="558"/>
      <c r="AF336" s="558"/>
      <c r="AG336" s="558"/>
      <c r="AH336" s="558"/>
      <c r="AI336" s="558"/>
    </row>
    <row r="337" spans="2:35">
      <c r="B337" s="558"/>
      <c r="C337" s="558"/>
      <c r="D337" s="558"/>
      <c r="E337" s="558"/>
      <c r="F337" s="558"/>
      <c r="G337" s="558"/>
      <c r="H337" s="558"/>
      <c r="I337" s="558"/>
      <c r="J337" s="558"/>
      <c r="K337" s="558"/>
      <c r="L337" s="558"/>
      <c r="M337" s="558"/>
      <c r="N337" s="558"/>
      <c r="O337" s="558"/>
      <c r="P337" s="558"/>
      <c r="Q337" s="558"/>
      <c r="R337" s="558"/>
      <c r="S337" s="558"/>
      <c r="T337" s="558"/>
      <c r="U337" s="558"/>
      <c r="V337" s="558"/>
      <c r="W337" s="558"/>
      <c r="X337" s="558"/>
      <c r="Y337" s="558"/>
      <c r="Z337" s="558"/>
      <c r="AA337" s="558"/>
      <c r="AB337" s="558"/>
      <c r="AC337" s="558"/>
      <c r="AD337" s="558"/>
      <c r="AE337" s="558"/>
      <c r="AF337" s="558"/>
      <c r="AG337" s="558"/>
      <c r="AH337" s="558"/>
      <c r="AI337" s="558"/>
    </row>
    <row r="338" spans="2:35">
      <c r="B338" s="558"/>
      <c r="C338" s="558"/>
      <c r="D338" s="558"/>
      <c r="E338" s="558"/>
      <c r="F338" s="558"/>
      <c r="G338" s="558"/>
      <c r="H338" s="558"/>
      <c r="I338" s="558"/>
      <c r="J338" s="558"/>
      <c r="K338" s="558"/>
      <c r="L338" s="558"/>
      <c r="M338" s="558"/>
      <c r="N338" s="558"/>
      <c r="O338" s="558"/>
      <c r="P338" s="558"/>
      <c r="Q338" s="558"/>
      <c r="R338" s="558"/>
      <c r="S338" s="558"/>
      <c r="T338" s="558"/>
      <c r="U338" s="558"/>
      <c r="V338" s="558"/>
      <c r="W338" s="558"/>
      <c r="X338" s="558"/>
      <c r="Y338" s="558"/>
      <c r="Z338" s="558"/>
      <c r="AA338" s="558"/>
      <c r="AB338" s="558"/>
      <c r="AC338" s="558"/>
      <c r="AD338" s="558"/>
      <c r="AE338" s="558"/>
      <c r="AF338" s="558"/>
      <c r="AG338" s="558"/>
      <c r="AH338" s="558"/>
      <c r="AI338" s="558"/>
    </row>
    <row r="339" spans="2:35">
      <c r="B339" s="558"/>
      <c r="C339" s="558"/>
      <c r="D339" s="558"/>
      <c r="E339" s="558"/>
      <c r="F339" s="558"/>
      <c r="G339" s="558"/>
      <c r="H339" s="558"/>
      <c r="I339" s="558"/>
      <c r="J339" s="558"/>
      <c r="K339" s="558"/>
      <c r="L339" s="558"/>
      <c r="M339" s="558"/>
      <c r="N339" s="558"/>
      <c r="O339" s="558"/>
      <c r="P339" s="558"/>
      <c r="Q339" s="558"/>
      <c r="R339" s="558"/>
      <c r="S339" s="558"/>
      <c r="T339" s="558"/>
      <c r="U339" s="558"/>
      <c r="V339" s="558"/>
      <c r="W339" s="558"/>
      <c r="X339" s="558"/>
      <c r="Y339" s="558"/>
      <c r="Z339" s="558"/>
      <c r="AA339" s="558"/>
      <c r="AB339" s="558"/>
      <c r="AC339" s="558"/>
      <c r="AD339" s="558"/>
      <c r="AE339" s="558"/>
      <c r="AF339" s="558"/>
      <c r="AG339" s="558"/>
      <c r="AH339" s="558"/>
      <c r="AI339" s="558"/>
    </row>
    <row r="340" spans="2:35">
      <c r="B340" s="558"/>
      <c r="C340" s="558"/>
      <c r="D340" s="558"/>
      <c r="E340" s="558"/>
      <c r="F340" s="558"/>
      <c r="G340" s="558"/>
      <c r="H340" s="558"/>
      <c r="I340" s="558"/>
      <c r="J340" s="558"/>
      <c r="K340" s="558"/>
      <c r="L340" s="558"/>
      <c r="M340" s="558"/>
      <c r="N340" s="558"/>
      <c r="O340" s="558"/>
      <c r="P340" s="558"/>
      <c r="Q340" s="558"/>
      <c r="R340" s="558"/>
      <c r="S340" s="558"/>
      <c r="T340" s="558"/>
      <c r="U340" s="558"/>
      <c r="V340" s="558"/>
      <c r="W340" s="558"/>
      <c r="X340" s="558"/>
      <c r="Y340" s="558"/>
      <c r="Z340" s="558"/>
      <c r="AA340" s="558"/>
      <c r="AB340" s="558"/>
      <c r="AC340" s="558"/>
      <c r="AD340" s="558"/>
      <c r="AE340" s="558"/>
      <c r="AF340" s="558"/>
      <c r="AG340" s="558"/>
      <c r="AH340" s="558"/>
      <c r="AI340" s="558"/>
    </row>
    <row r="341" spans="2:35">
      <c r="B341" s="558"/>
      <c r="C341" s="558"/>
      <c r="D341" s="558"/>
      <c r="E341" s="558"/>
      <c r="F341" s="558"/>
      <c r="G341" s="558"/>
      <c r="H341" s="558"/>
      <c r="I341" s="558"/>
      <c r="J341" s="558"/>
      <c r="K341" s="558"/>
      <c r="L341" s="558"/>
      <c r="M341" s="558"/>
      <c r="N341" s="558"/>
      <c r="O341" s="558"/>
      <c r="P341" s="558"/>
      <c r="Q341" s="558"/>
      <c r="R341" s="558"/>
      <c r="S341" s="558"/>
      <c r="T341" s="558"/>
      <c r="U341" s="558"/>
      <c r="V341" s="558"/>
      <c r="W341" s="558"/>
      <c r="X341" s="558"/>
      <c r="Y341" s="558"/>
      <c r="Z341" s="558"/>
      <c r="AA341" s="558"/>
      <c r="AB341" s="558"/>
      <c r="AC341" s="558"/>
      <c r="AD341" s="558"/>
      <c r="AE341" s="558"/>
      <c r="AF341" s="558"/>
      <c r="AG341" s="558"/>
      <c r="AH341" s="558"/>
      <c r="AI341" s="558"/>
    </row>
    <row r="342" spans="2:35">
      <c r="B342" s="558"/>
      <c r="C342" s="558"/>
      <c r="D342" s="558"/>
      <c r="E342" s="558"/>
      <c r="F342" s="558"/>
      <c r="G342" s="558"/>
      <c r="H342" s="558"/>
      <c r="I342" s="558"/>
      <c r="J342" s="558"/>
      <c r="K342" s="558"/>
      <c r="L342" s="558"/>
      <c r="M342" s="558"/>
      <c r="N342" s="558"/>
      <c r="O342" s="558"/>
      <c r="P342" s="558"/>
      <c r="Q342" s="558"/>
      <c r="R342" s="558"/>
      <c r="S342" s="558"/>
      <c r="T342" s="558"/>
      <c r="U342" s="558"/>
      <c r="V342" s="558"/>
      <c r="W342" s="558"/>
      <c r="X342" s="558"/>
      <c r="Y342" s="558"/>
      <c r="Z342" s="558"/>
      <c r="AA342" s="558"/>
      <c r="AB342" s="558"/>
      <c r="AC342" s="558"/>
      <c r="AD342" s="558"/>
      <c r="AE342" s="558"/>
      <c r="AF342" s="558"/>
      <c r="AG342" s="558"/>
      <c r="AH342" s="558"/>
      <c r="AI342" s="558"/>
    </row>
    <row r="343" spans="2:35">
      <c r="B343" s="558"/>
      <c r="C343" s="558"/>
      <c r="D343" s="558"/>
      <c r="E343" s="558"/>
      <c r="F343" s="558"/>
      <c r="G343" s="558"/>
      <c r="H343" s="558"/>
      <c r="I343" s="558"/>
      <c r="J343" s="558"/>
      <c r="K343" s="558"/>
      <c r="L343" s="558"/>
      <c r="M343" s="558"/>
      <c r="N343" s="558"/>
      <c r="O343" s="558"/>
      <c r="P343" s="558"/>
      <c r="Q343" s="558"/>
      <c r="R343" s="558"/>
      <c r="S343" s="558"/>
      <c r="T343" s="558"/>
      <c r="U343" s="558"/>
      <c r="V343" s="558"/>
      <c r="W343" s="558"/>
      <c r="X343" s="558"/>
      <c r="Y343" s="558"/>
      <c r="Z343" s="558"/>
      <c r="AA343" s="558"/>
      <c r="AB343" s="558"/>
      <c r="AC343" s="558"/>
      <c r="AD343" s="558"/>
      <c r="AE343" s="558"/>
      <c r="AF343" s="558"/>
      <c r="AG343" s="558"/>
      <c r="AH343" s="558"/>
      <c r="AI343" s="558"/>
    </row>
    <row r="344" spans="2:35">
      <c r="B344" s="558"/>
      <c r="C344" s="558"/>
      <c r="D344" s="558"/>
      <c r="E344" s="558"/>
      <c r="F344" s="558"/>
      <c r="G344" s="558"/>
      <c r="H344" s="558"/>
      <c r="I344" s="558"/>
      <c r="J344" s="558"/>
      <c r="K344" s="558"/>
      <c r="L344" s="558"/>
      <c r="M344" s="558"/>
      <c r="N344" s="558"/>
      <c r="O344" s="558"/>
      <c r="P344" s="558"/>
      <c r="Q344" s="558"/>
      <c r="R344" s="558"/>
      <c r="S344" s="558"/>
      <c r="T344" s="558"/>
      <c r="U344" s="558"/>
      <c r="V344" s="558"/>
      <c r="W344" s="558"/>
      <c r="X344" s="558"/>
      <c r="Y344" s="558"/>
      <c r="Z344" s="558"/>
      <c r="AA344" s="558"/>
      <c r="AB344" s="558"/>
      <c r="AC344" s="558"/>
      <c r="AD344" s="558"/>
      <c r="AE344" s="558"/>
      <c r="AF344" s="558"/>
      <c r="AG344" s="558"/>
      <c r="AH344" s="558"/>
      <c r="AI344" s="558"/>
    </row>
    <row r="345" spans="2:35">
      <c r="B345" s="558"/>
      <c r="C345" s="558"/>
      <c r="D345" s="558"/>
      <c r="E345" s="558"/>
      <c r="F345" s="558"/>
      <c r="G345" s="558"/>
      <c r="H345" s="558"/>
      <c r="I345" s="558"/>
      <c r="J345" s="558"/>
      <c r="K345" s="558"/>
      <c r="L345" s="558"/>
      <c r="M345" s="558"/>
      <c r="N345" s="558"/>
      <c r="O345" s="558"/>
      <c r="P345" s="558"/>
      <c r="Q345" s="558"/>
      <c r="R345" s="558"/>
      <c r="S345" s="558"/>
      <c r="T345" s="558"/>
      <c r="U345" s="558"/>
      <c r="V345" s="558"/>
      <c r="W345" s="558"/>
      <c r="X345" s="558"/>
      <c r="Y345" s="558"/>
      <c r="Z345" s="558"/>
      <c r="AA345" s="558"/>
      <c r="AB345" s="558"/>
      <c r="AC345" s="558"/>
      <c r="AD345" s="558"/>
      <c r="AE345" s="558"/>
      <c r="AF345" s="558"/>
      <c r="AG345" s="558"/>
      <c r="AH345" s="558"/>
      <c r="AI345" s="558"/>
    </row>
    <row r="346" spans="2:35">
      <c r="B346" s="558"/>
      <c r="C346" s="558"/>
      <c r="D346" s="558"/>
      <c r="E346" s="558"/>
      <c r="F346" s="558"/>
      <c r="G346" s="558"/>
      <c r="H346" s="558"/>
      <c r="I346" s="558"/>
      <c r="J346" s="558"/>
      <c r="K346" s="558"/>
      <c r="L346" s="558"/>
      <c r="M346" s="558"/>
      <c r="N346" s="558"/>
      <c r="O346" s="558"/>
      <c r="P346" s="558"/>
      <c r="Q346" s="558"/>
      <c r="R346" s="558"/>
      <c r="S346" s="558"/>
      <c r="T346" s="558"/>
      <c r="U346" s="558"/>
      <c r="V346" s="558"/>
      <c r="W346" s="558"/>
      <c r="X346" s="558"/>
      <c r="Y346" s="558"/>
      <c r="Z346" s="558"/>
      <c r="AA346" s="558"/>
      <c r="AB346" s="558"/>
      <c r="AC346" s="558"/>
      <c r="AD346" s="558"/>
      <c r="AE346" s="558"/>
      <c r="AF346" s="558"/>
      <c r="AG346" s="558"/>
      <c r="AH346" s="558"/>
      <c r="AI346" s="558"/>
    </row>
    <row r="347" spans="2:35">
      <c r="B347" s="558"/>
      <c r="C347" s="558"/>
      <c r="D347" s="558"/>
      <c r="E347" s="558"/>
      <c r="F347" s="558"/>
      <c r="G347" s="558"/>
      <c r="H347" s="558"/>
      <c r="I347" s="558"/>
      <c r="J347" s="558"/>
      <c r="K347" s="558"/>
      <c r="L347" s="558"/>
      <c r="M347" s="558"/>
      <c r="N347" s="558"/>
      <c r="O347" s="558"/>
      <c r="P347" s="558"/>
      <c r="Q347" s="558"/>
      <c r="R347" s="558"/>
      <c r="S347" s="558"/>
      <c r="T347" s="558"/>
      <c r="U347" s="558"/>
      <c r="V347" s="558"/>
      <c r="W347" s="558"/>
      <c r="X347" s="558"/>
      <c r="Y347" s="558"/>
      <c r="Z347" s="558"/>
      <c r="AA347" s="558"/>
      <c r="AB347" s="558"/>
      <c r="AC347" s="558"/>
      <c r="AD347" s="558"/>
      <c r="AE347" s="558"/>
      <c r="AF347" s="558"/>
      <c r="AG347" s="558"/>
      <c r="AH347" s="558"/>
      <c r="AI347" s="558"/>
    </row>
    <row r="348" spans="2:35">
      <c r="B348" s="558"/>
      <c r="C348" s="558"/>
      <c r="D348" s="558"/>
      <c r="E348" s="558"/>
      <c r="F348" s="558"/>
      <c r="G348" s="558"/>
      <c r="H348" s="558"/>
      <c r="I348" s="558"/>
      <c r="J348" s="558"/>
      <c r="K348" s="558"/>
      <c r="L348" s="558"/>
      <c r="M348" s="558"/>
      <c r="N348" s="558"/>
      <c r="O348" s="558"/>
      <c r="P348" s="558"/>
      <c r="Q348" s="558"/>
      <c r="R348" s="558"/>
      <c r="S348" s="558"/>
      <c r="T348" s="558"/>
      <c r="U348" s="558"/>
      <c r="V348" s="558"/>
      <c r="W348" s="558"/>
      <c r="X348" s="558"/>
      <c r="Y348" s="558"/>
      <c r="Z348" s="558"/>
      <c r="AA348" s="558"/>
      <c r="AB348" s="558"/>
      <c r="AC348" s="558"/>
      <c r="AD348" s="558"/>
      <c r="AE348" s="558"/>
      <c r="AF348" s="558"/>
      <c r="AG348" s="558"/>
      <c r="AH348" s="558"/>
      <c r="AI348" s="558"/>
    </row>
    <row r="349" spans="2:35">
      <c r="B349" s="558"/>
      <c r="C349" s="558"/>
      <c r="D349" s="558"/>
      <c r="E349" s="558"/>
      <c r="F349" s="558"/>
      <c r="G349" s="558"/>
      <c r="H349" s="558"/>
      <c r="I349" s="558"/>
      <c r="J349" s="558"/>
      <c r="K349" s="558"/>
      <c r="L349" s="558"/>
      <c r="M349" s="558"/>
      <c r="N349" s="558"/>
      <c r="O349" s="558"/>
      <c r="P349" s="558"/>
      <c r="Q349" s="558"/>
      <c r="R349" s="558"/>
      <c r="S349" s="558"/>
      <c r="T349" s="558"/>
      <c r="U349" s="558"/>
      <c r="V349" s="558"/>
      <c r="W349" s="558"/>
      <c r="X349" s="558"/>
      <c r="Y349" s="558"/>
      <c r="Z349" s="558"/>
      <c r="AA349" s="558"/>
      <c r="AB349" s="558"/>
      <c r="AC349" s="558"/>
      <c r="AD349" s="558"/>
      <c r="AE349" s="558"/>
      <c r="AF349" s="558"/>
      <c r="AG349" s="558"/>
      <c r="AH349" s="558"/>
      <c r="AI349" s="558"/>
    </row>
    <row r="350" spans="2:35">
      <c r="B350" s="558"/>
      <c r="C350" s="558"/>
      <c r="D350" s="558"/>
      <c r="E350" s="558"/>
      <c r="F350" s="558"/>
      <c r="G350" s="558"/>
      <c r="H350" s="558"/>
      <c r="I350" s="558"/>
      <c r="J350" s="558"/>
      <c r="K350" s="558"/>
      <c r="L350" s="558"/>
      <c r="M350" s="558"/>
      <c r="N350" s="558"/>
      <c r="O350" s="558"/>
      <c r="P350" s="558"/>
      <c r="Q350" s="558"/>
      <c r="R350" s="558"/>
      <c r="S350" s="558"/>
      <c r="T350" s="558"/>
      <c r="U350" s="558"/>
      <c r="V350" s="558"/>
      <c r="W350" s="558"/>
      <c r="X350" s="558"/>
      <c r="Y350" s="558"/>
      <c r="Z350" s="558"/>
      <c r="AA350" s="558"/>
      <c r="AB350" s="558"/>
      <c r="AC350" s="558"/>
      <c r="AD350" s="558"/>
      <c r="AE350" s="558"/>
      <c r="AF350" s="558"/>
      <c r="AG350" s="558"/>
      <c r="AH350" s="558"/>
      <c r="AI350" s="558"/>
    </row>
    <row r="351" spans="2:35">
      <c r="B351" s="558"/>
      <c r="C351" s="558"/>
      <c r="D351" s="558"/>
      <c r="E351" s="558"/>
      <c r="F351" s="558"/>
      <c r="G351" s="558"/>
      <c r="H351" s="558"/>
      <c r="I351" s="558"/>
      <c r="J351" s="558"/>
      <c r="K351" s="558"/>
      <c r="L351" s="558"/>
      <c r="M351" s="558"/>
      <c r="N351" s="558"/>
      <c r="O351" s="558"/>
      <c r="P351" s="558"/>
      <c r="Q351" s="558"/>
      <c r="R351" s="558"/>
      <c r="S351" s="558"/>
      <c r="T351" s="558"/>
      <c r="U351" s="558"/>
      <c r="V351" s="558"/>
      <c r="W351" s="558"/>
      <c r="X351" s="558"/>
      <c r="Y351" s="558"/>
      <c r="Z351" s="558"/>
      <c r="AA351" s="558"/>
      <c r="AB351" s="558"/>
      <c r="AC351" s="558"/>
      <c r="AD351" s="558"/>
      <c r="AE351" s="558"/>
      <c r="AF351" s="558"/>
      <c r="AG351" s="558"/>
      <c r="AH351" s="558"/>
      <c r="AI351" s="558"/>
    </row>
    <row r="352" spans="2:35">
      <c r="B352" s="558"/>
      <c r="C352" s="558"/>
      <c r="D352" s="558"/>
      <c r="E352" s="558"/>
      <c r="F352" s="558"/>
      <c r="G352" s="558"/>
      <c r="H352" s="558"/>
      <c r="I352" s="558"/>
      <c r="J352" s="558"/>
      <c r="K352" s="558"/>
      <c r="L352" s="558"/>
      <c r="M352" s="558"/>
      <c r="N352" s="558"/>
      <c r="O352" s="558"/>
      <c r="P352" s="558"/>
      <c r="Q352" s="558"/>
      <c r="R352" s="558"/>
      <c r="S352" s="558"/>
      <c r="T352" s="558"/>
      <c r="U352" s="558"/>
      <c r="V352" s="558"/>
      <c r="W352" s="558"/>
      <c r="X352" s="558"/>
      <c r="Y352" s="558"/>
      <c r="Z352" s="558"/>
      <c r="AA352" s="558"/>
      <c r="AB352" s="558"/>
      <c r="AC352" s="558"/>
      <c r="AD352" s="558"/>
      <c r="AE352" s="558"/>
      <c r="AF352" s="558"/>
      <c r="AG352" s="558"/>
      <c r="AH352" s="558"/>
      <c r="AI352" s="558"/>
    </row>
    <row r="353" spans="2:35">
      <c r="B353" s="558"/>
      <c r="C353" s="558"/>
      <c r="D353" s="558"/>
      <c r="E353" s="558"/>
      <c r="F353" s="558"/>
      <c r="G353" s="558"/>
      <c r="H353" s="558"/>
      <c r="I353" s="558"/>
      <c r="J353" s="558"/>
      <c r="K353" s="558"/>
      <c r="L353" s="558"/>
      <c r="M353" s="558"/>
      <c r="N353" s="558"/>
      <c r="O353" s="558"/>
      <c r="P353" s="558"/>
      <c r="Q353" s="558"/>
      <c r="R353" s="558"/>
      <c r="S353" s="558"/>
      <c r="T353" s="558"/>
      <c r="U353" s="558"/>
      <c r="V353" s="558"/>
      <c r="W353" s="558"/>
      <c r="X353" s="558"/>
      <c r="Y353" s="558"/>
      <c r="Z353" s="558"/>
      <c r="AA353" s="558"/>
      <c r="AB353" s="558"/>
      <c r="AC353" s="558"/>
      <c r="AD353" s="558"/>
      <c r="AE353" s="558"/>
      <c r="AF353" s="558"/>
      <c r="AG353" s="558"/>
      <c r="AH353" s="558"/>
      <c r="AI353" s="558"/>
    </row>
    <row r="354" spans="2:35">
      <c r="B354" s="558"/>
      <c r="C354" s="558"/>
      <c r="D354" s="558"/>
      <c r="E354" s="558"/>
      <c r="F354" s="558"/>
      <c r="G354" s="558"/>
      <c r="H354" s="558"/>
      <c r="I354" s="558"/>
      <c r="J354" s="558"/>
      <c r="K354" s="558"/>
      <c r="L354" s="558"/>
      <c r="M354" s="558"/>
      <c r="N354" s="558"/>
      <c r="O354" s="558"/>
      <c r="P354" s="558"/>
      <c r="Q354" s="558"/>
      <c r="R354" s="558"/>
      <c r="S354" s="558"/>
      <c r="T354" s="558"/>
      <c r="U354" s="558"/>
      <c r="V354" s="558"/>
      <c r="W354" s="558"/>
      <c r="X354" s="558"/>
      <c r="Y354" s="558"/>
      <c r="Z354" s="558"/>
      <c r="AA354" s="558"/>
      <c r="AB354" s="558"/>
      <c r="AC354" s="558"/>
      <c r="AD354" s="558"/>
      <c r="AE354" s="558"/>
      <c r="AF354" s="558"/>
      <c r="AG354" s="558"/>
      <c r="AH354" s="558"/>
      <c r="AI354" s="558"/>
    </row>
    <row r="355" spans="2:35">
      <c r="B355" s="558"/>
      <c r="C355" s="558"/>
      <c r="D355" s="558"/>
      <c r="E355" s="558"/>
      <c r="F355" s="558"/>
      <c r="G355" s="558"/>
      <c r="H355" s="558"/>
      <c r="I355" s="558"/>
      <c r="J355" s="558"/>
      <c r="K355" s="558"/>
      <c r="L355" s="558"/>
      <c r="M355" s="558"/>
      <c r="N355" s="558"/>
      <c r="O355" s="558"/>
      <c r="P355" s="558"/>
      <c r="Q355" s="558"/>
      <c r="R355" s="558"/>
      <c r="S355" s="558"/>
      <c r="T355" s="558"/>
      <c r="U355" s="558"/>
      <c r="V355" s="558"/>
      <c r="W355" s="558"/>
      <c r="X355" s="558"/>
      <c r="Y355" s="558"/>
      <c r="Z355" s="558"/>
      <c r="AA355" s="558"/>
      <c r="AB355" s="558"/>
      <c r="AC355" s="558"/>
      <c r="AD355" s="558"/>
      <c r="AE355" s="558"/>
      <c r="AF355" s="558"/>
      <c r="AG355" s="558"/>
      <c r="AH355" s="558"/>
      <c r="AI355" s="558"/>
    </row>
    <row r="356" spans="2:35">
      <c r="B356" s="558"/>
      <c r="C356" s="558"/>
      <c r="D356" s="558"/>
      <c r="E356" s="558"/>
      <c r="F356" s="558"/>
      <c r="G356" s="558"/>
      <c r="H356" s="558"/>
      <c r="I356" s="558"/>
      <c r="J356" s="558"/>
      <c r="K356" s="558"/>
      <c r="L356" s="558"/>
      <c r="M356" s="558"/>
      <c r="N356" s="558"/>
      <c r="O356" s="558"/>
      <c r="P356" s="558"/>
      <c r="Q356" s="558"/>
      <c r="R356" s="558"/>
      <c r="S356" s="558"/>
      <c r="T356" s="558"/>
      <c r="U356" s="558"/>
      <c r="V356" s="558"/>
      <c r="W356" s="558"/>
      <c r="X356" s="558"/>
      <c r="Y356" s="558"/>
      <c r="Z356" s="558"/>
      <c r="AA356" s="558"/>
      <c r="AB356" s="558"/>
      <c r="AC356" s="558"/>
      <c r="AD356" s="558"/>
      <c r="AE356" s="558"/>
      <c r="AF356" s="558"/>
      <c r="AG356" s="558"/>
      <c r="AH356" s="558"/>
      <c r="AI356" s="558"/>
    </row>
    <row r="357" spans="2:35">
      <c r="B357" s="558"/>
      <c r="C357" s="558"/>
      <c r="D357" s="558"/>
      <c r="E357" s="558"/>
      <c r="F357" s="558"/>
      <c r="G357" s="558"/>
      <c r="H357" s="558"/>
      <c r="I357" s="558"/>
      <c r="J357" s="558"/>
      <c r="K357" s="558"/>
      <c r="L357" s="558"/>
      <c r="M357" s="558"/>
      <c r="N357" s="558"/>
      <c r="O357" s="558"/>
      <c r="P357" s="558"/>
      <c r="Q357" s="558"/>
      <c r="R357" s="558"/>
      <c r="S357" s="558"/>
      <c r="T357" s="558"/>
      <c r="U357" s="558"/>
      <c r="V357" s="558"/>
      <c r="W357" s="558"/>
      <c r="X357" s="558"/>
      <c r="Y357" s="558"/>
      <c r="Z357" s="558"/>
      <c r="AA357" s="558"/>
      <c r="AB357" s="558"/>
      <c r="AC357" s="558"/>
      <c r="AD357" s="558"/>
      <c r="AE357" s="558"/>
      <c r="AF357" s="558"/>
      <c r="AG357" s="558"/>
      <c r="AH357" s="558"/>
      <c r="AI357" s="558"/>
    </row>
    <row r="358" spans="2:35">
      <c r="B358" s="558"/>
      <c r="C358" s="558"/>
      <c r="D358" s="558"/>
      <c r="E358" s="558"/>
      <c r="F358" s="558"/>
      <c r="G358" s="558"/>
      <c r="H358" s="558"/>
      <c r="I358" s="558"/>
      <c r="J358" s="558"/>
      <c r="K358" s="558"/>
      <c r="L358" s="558"/>
      <c r="M358" s="558"/>
      <c r="N358" s="558"/>
      <c r="O358" s="558"/>
      <c r="P358" s="558"/>
      <c r="Q358" s="558"/>
      <c r="R358" s="558"/>
      <c r="S358" s="558"/>
      <c r="T358" s="558"/>
      <c r="U358" s="558"/>
      <c r="V358" s="558"/>
      <c r="W358" s="558"/>
      <c r="X358" s="558"/>
      <c r="Y358" s="558"/>
      <c r="Z358" s="558"/>
      <c r="AA358" s="558"/>
      <c r="AB358" s="558"/>
      <c r="AC358" s="558"/>
      <c r="AD358" s="558"/>
      <c r="AE358" s="558"/>
      <c r="AF358" s="558"/>
      <c r="AG358" s="558"/>
      <c r="AH358" s="558"/>
      <c r="AI358" s="558"/>
    </row>
    <row r="359" spans="2:35">
      <c r="B359" s="558"/>
      <c r="C359" s="558"/>
      <c r="D359" s="558"/>
      <c r="E359" s="558"/>
      <c r="F359" s="558"/>
      <c r="G359" s="558"/>
      <c r="H359" s="558"/>
      <c r="I359" s="558"/>
      <c r="J359" s="558"/>
      <c r="K359" s="558"/>
      <c r="L359" s="558"/>
      <c r="M359" s="558"/>
      <c r="N359" s="558"/>
      <c r="O359" s="558"/>
      <c r="P359" s="558"/>
      <c r="Q359" s="558"/>
      <c r="R359" s="558"/>
      <c r="S359" s="558"/>
      <c r="T359" s="558"/>
      <c r="U359" s="558"/>
      <c r="V359" s="558"/>
      <c r="W359" s="558"/>
      <c r="X359" s="558"/>
      <c r="Y359" s="558"/>
      <c r="Z359" s="558"/>
      <c r="AA359" s="558"/>
      <c r="AB359" s="558"/>
      <c r="AC359" s="558"/>
      <c r="AD359" s="558"/>
      <c r="AE359" s="558"/>
      <c r="AF359" s="558"/>
      <c r="AG359" s="558"/>
      <c r="AH359" s="558"/>
      <c r="AI359" s="558"/>
    </row>
    <row r="360" spans="2:35">
      <c r="B360" s="558"/>
      <c r="C360" s="558"/>
      <c r="D360" s="558"/>
      <c r="E360" s="558"/>
      <c r="F360" s="558"/>
      <c r="G360" s="558"/>
      <c r="H360" s="558"/>
      <c r="I360" s="558"/>
      <c r="J360" s="558"/>
      <c r="K360" s="558"/>
      <c r="L360" s="558"/>
      <c r="M360" s="558"/>
      <c r="N360" s="558"/>
      <c r="O360" s="558"/>
      <c r="P360" s="558"/>
      <c r="Q360" s="558"/>
      <c r="R360" s="558"/>
      <c r="S360" s="558"/>
      <c r="T360" s="558"/>
      <c r="U360" s="558"/>
      <c r="V360" s="558"/>
      <c r="W360" s="558"/>
      <c r="X360" s="558"/>
      <c r="Y360" s="558"/>
      <c r="Z360" s="558"/>
      <c r="AA360" s="558"/>
      <c r="AB360" s="558"/>
      <c r="AC360" s="558"/>
      <c r="AD360" s="558"/>
      <c r="AE360" s="558"/>
      <c r="AF360" s="558"/>
      <c r="AG360" s="558"/>
      <c r="AH360" s="558"/>
      <c r="AI360" s="558"/>
    </row>
    <row r="361" spans="2:35">
      <c r="B361" s="558"/>
      <c r="C361" s="558"/>
      <c r="D361" s="558"/>
      <c r="E361" s="558"/>
      <c r="F361" s="558"/>
      <c r="G361" s="558"/>
      <c r="H361" s="558"/>
      <c r="I361" s="558"/>
      <c r="J361" s="558"/>
      <c r="K361" s="558"/>
      <c r="L361" s="558"/>
      <c r="M361" s="558"/>
      <c r="N361" s="558"/>
      <c r="O361" s="558"/>
      <c r="P361" s="558"/>
      <c r="Q361" s="558"/>
      <c r="R361" s="558"/>
      <c r="S361" s="558"/>
      <c r="T361" s="558"/>
      <c r="U361" s="558"/>
      <c r="V361" s="558"/>
      <c r="W361" s="558"/>
      <c r="X361" s="558"/>
      <c r="Y361" s="558"/>
      <c r="Z361" s="558"/>
      <c r="AA361" s="558"/>
      <c r="AB361" s="558"/>
      <c r="AC361" s="558"/>
      <c r="AD361" s="558"/>
      <c r="AE361" s="558"/>
      <c r="AF361" s="558"/>
      <c r="AG361" s="558"/>
      <c r="AH361" s="558"/>
      <c r="AI361" s="558"/>
    </row>
    <row r="362" spans="2:35">
      <c r="B362" s="558"/>
      <c r="C362" s="558"/>
      <c r="D362" s="558"/>
      <c r="E362" s="558"/>
      <c r="F362" s="558"/>
      <c r="G362" s="558"/>
      <c r="H362" s="558"/>
      <c r="I362" s="558"/>
      <c r="J362" s="558"/>
      <c r="K362" s="558"/>
      <c r="L362" s="558"/>
      <c r="M362" s="558"/>
      <c r="N362" s="558"/>
      <c r="O362" s="558"/>
      <c r="P362" s="558"/>
      <c r="Q362" s="558"/>
      <c r="R362" s="558"/>
      <c r="S362" s="558"/>
      <c r="T362" s="558"/>
      <c r="U362" s="558"/>
      <c r="V362" s="558"/>
      <c r="W362" s="558"/>
      <c r="X362" s="558"/>
      <c r="Y362" s="558"/>
      <c r="Z362" s="558"/>
      <c r="AA362" s="558"/>
      <c r="AB362" s="558"/>
      <c r="AC362" s="558"/>
      <c r="AD362" s="558"/>
      <c r="AE362" s="558"/>
      <c r="AF362" s="558"/>
      <c r="AG362" s="558"/>
      <c r="AH362" s="558"/>
      <c r="AI362" s="558"/>
    </row>
    <row r="363" spans="2:35">
      <c r="B363" s="558"/>
      <c r="C363" s="558"/>
      <c r="D363" s="558"/>
      <c r="E363" s="558"/>
      <c r="F363" s="558"/>
      <c r="G363" s="558"/>
      <c r="H363" s="558"/>
      <c r="I363" s="558"/>
      <c r="J363" s="558"/>
      <c r="K363" s="558"/>
      <c r="L363" s="558"/>
      <c r="M363" s="558"/>
      <c r="N363" s="558"/>
      <c r="O363" s="558"/>
      <c r="P363" s="558"/>
      <c r="Q363" s="558"/>
      <c r="R363" s="558"/>
      <c r="S363" s="558"/>
      <c r="T363" s="558"/>
      <c r="U363" s="558"/>
      <c r="V363" s="558"/>
      <c r="W363" s="558"/>
      <c r="X363" s="558"/>
      <c r="Y363" s="558"/>
      <c r="Z363" s="558"/>
      <c r="AA363" s="558"/>
      <c r="AB363" s="558"/>
      <c r="AC363" s="558"/>
      <c r="AD363" s="558"/>
      <c r="AE363" s="558"/>
      <c r="AF363" s="558"/>
      <c r="AG363" s="558"/>
      <c r="AH363" s="558"/>
      <c r="AI363" s="558"/>
    </row>
    <row r="364" spans="2:35">
      <c r="B364" s="558"/>
      <c r="C364" s="558"/>
      <c r="D364" s="558"/>
      <c r="E364" s="558"/>
      <c r="F364" s="558"/>
      <c r="G364" s="558"/>
      <c r="H364" s="558"/>
      <c r="I364" s="558"/>
      <c r="J364" s="558"/>
      <c r="K364" s="558"/>
      <c r="L364" s="558"/>
      <c r="M364" s="558"/>
      <c r="N364" s="558"/>
      <c r="O364" s="558"/>
      <c r="P364" s="558"/>
      <c r="Q364" s="558"/>
      <c r="R364" s="558"/>
      <c r="S364" s="558"/>
      <c r="T364" s="558"/>
      <c r="U364" s="558"/>
      <c r="V364" s="558"/>
      <c r="W364" s="558"/>
      <c r="X364" s="558"/>
      <c r="Y364" s="558"/>
      <c r="Z364" s="558"/>
      <c r="AA364" s="558"/>
      <c r="AB364" s="558"/>
      <c r="AC364" s="558"/>
      <c r="AD364" s="558"/>
      <c r="AE364" s="558"/>
      <c r="AF364" s="558"/>
      <c r="AG364" s="558"/>
      <c r="AH364" s="558"/>
      <c r="AI364" s="558"/>
    </row>
    <row r="365" spans="2:35">
      <c r="B365" s="558"/>
      <c r="C365" s="558"/>
      <c r="D365" s="558"/>
      <c r="E365" s="558"/>
      <c r="F365" s="558"/>
      <c r="G365" s="558"/>
      <c r="H365" s="558"/>
      <c r="I365" s="558"/>
      <c r="J365" s="558"/>
      <c r="K365" s="558"/>
      <c r="L365" s="558"/>
      <c r="M365" s="558"/>
      <c r="N365" s="558"/>
      <c r="O365" s="558"/>
      <c r="P365" s="558"/>
      <c r="Q365" s="558"/>
      <c r="R365" s="558"/>
      <c r="S365" s="558"/>
      <c r="T365" s="558"/>
      <c r="U365" s="558"/>
      <c r="V365" s="558"/>
      <c r="W365" s="558"/>
      <c r="X365" s="558"/>
      <c r="Y365" s="558"/>
      <c r="Z365" s="558"/>
      <c r="AA365" s="558"/>
      <c r="AB365" s="558"/>
      <c r="AC365" s="558"/>
      <c r="AD365" s="558"/>
      <c r="AE365" s="558"/>
      <c r="AF365" s="558"/>
      <c r="AG365" s="558"/>
      <c r="AH365" s="558"/>
      <c r="AI365" s="558"/>
    </row>
    <row r="366" spans="2:35">
      <c r="B366" s="558"/>
      <c r="C366" s="558"/>
      <c r="D366" s="558"/>
      <c r="E366" s="558"/>
      <c r="F366" s="558"/>
      <c r="G366" s="558"/>
      <c r="H366" s="558"/>
      <c r="I366" s="558"/>
      <c r="J366" s="558"/>
      <c r="K366" s="558"/>
      <c r="L366" s="558"/>
      <c r="M366" s="558"/>
      <c r="N366" s="558"/>
      <c r="O366" s="558"/>
      <c r="P366" s="558"/>
      <c r="Q366" s="558"/>
      <c r="R366" s="558"/>
      <c r="S366" s="558"/>
      <c r="T366" s="558"/>
      <c r="U366" s="558"/>
      <c r="V366" s="558"/>
      <c r="W366" s="558"/>
      <c r="X366" s="558"/>
      <c r="Y366" s="558"/>
      <c r="Z366" s="558"/>
      <c r="AA366" s="558"/>
      <c r="AB366" s="558"/>
      <c r="AC366" s="558"/>
      <c r="AD366" s="558"/>
      <c r="AE366" s="558"/>
      <c r="AF366" s="558"/>
      <c r="AG366" s="558"/>
      <c r="AH366" s="558"/>
      <c r="AI366" s="558"/>
    </row>
    <row r="367" spans="2:35">
      <c r="B367" s="558"/>
      <c r="C367" s="558"/>
      <c r="D367" s="558"/>
      <c r="E367" s="558"/>
      <c r="F367" s="558"/>
      <c r="G367" s="558"/>
      <c r="H367" s="558"/>
      <c r="I367" s="558"/>
      <c r="J367" s="558"/>
      <c r="K367" s="558"/>
      <c r="L367" s="558"/>
      <c r="M367" s="558"/>
      <c r="N367" s="558"/>
      <c r="O367" s="558"/>
      <c r="P367" s="558"/>
      <c r="Q367" s="558"/>
      <c r="R367" s="558"/>
      <c r="S367" s="558"/>
      <c r="T367" s="558"/>
      <c r="U367" s="558"/>
      <c r="V367" s="558"/>
      <c r="W367" s="558"/>
      <c r="X367" s="558"/>
      <c r="Y367" s="558"/>
      <c r="Z367" s="558"/>
      <c r="AA367" s="558"/>
      <c r="AB367" s="558"/>
      <c r="AC367" s="558"/>
      <c r="AD367" s="558"/>
      <c r="AE367" s="558"/>
      <c r="AF367" s="558"/>
      <c r="AG367" s="558"/>
      <c r="AH367" s="558"/>
      <c r="AI367" s="558"/>
    </row>
    <row r="368" spans="2:35">
      <c r="B368" s="558"/>
      <c r="C368" s="558"/>
      <c r="D368" s="558"/>
      <c r="E368" s="558"/>
      <c r="F368" s="558"/>
      <c r="G368" s="558"/>
      <c r="H368" s="558"/>
      <c r="I368" s="558"/>
      <c r="J368" s="558"/>
      <c r="K368" s="558"/>
      <c r="L368" s="558"/>
      <c r="M368" s="558"/>
      <c r="N368" s="558"/>
      <c r="O368" s="558"/>
      <c r="P368" s="558"/>
      <c r="Q368" s="558"/>
      <c r="R368" s="558"/>
      <c r="S368" s="558"/>
      <c r="T368" s="558"/>
      <c r="U368" s="558"/>
      <c r="V368" s="558"/>
      <c r="W368" s="558"/>
      <c r="X368" s="558"/>
      <c r="Y368" s="558"/>
      <c r="Z368" s="558"/>
      <c r="AA368" s="558"/>
      <c r="AB368" s="558"/>
      <c r="AC368" s="558"/>
      <c r="AD368" s="558"/>
      <c r="AE368" s="558"/>
      <c r="AF368" s="558"/>
      <c r="AG368" s="558"/>
      <c r="AH368" s="558"/>
      <c r="AI368" s="558"/>
    </row>
    <row r="369" spans="2:35">
      <c r="B369" s="558"/>
      <c r="C369" s="558"/>
      <c r="D369" s="558"/>
      <c r="E369" s="558"/>
      <c r="F369" s="558"/>
      <c r="G369" s="558"/>
      <c r="H369" s="558"/>
      <c r="I369" s="558"/>
      <c r="J369" s="558"/>
      <c r="K369" s="558"/>
      <c r="L369" s="558"/>
      <c r="M369" s="558"/>
      <c r="N369" s="558"/>
      <c r="O369" s="558"/>
      <c r="P369" s="558"/>
      <c r="Q369" s="558"/>
      <c r="R369" s="558"/>
      <c r="S369" s="558"/>
      <c r="T369" s="558"/>
      <c r="U369" s="558"/>
      <c r="V369" s="558"/>
      <c r="W369" s="558"/>
      <c r="X369" s="558"/>
      <c r="Y369" s="558"/>
      <c r="Z369" s="558"/>
      <c r="AA369" s="558"/>
      <c r="AB369" s="558"/>
      <c r="AC369" s="558"/>
      <c r="AD369" s="558"/>
      <c r="AE369" s="558"/>
      <c r="AF369" s="558"/>
      <c r="AG369" s="558"/>
      <c r="AH369" s="558"/>
      <c r="AI369" s="558"/>
    </row>
    <row r="370" spans="2:35">
      <c r="B370" s="558"/>
      <c r="C370" s="558"/>
      <c r="D370" s="558"/>
      <c r="E370" s="558"/>
      <c r="F370" s="558"/>
      <c r="G370" s="558"/>
      <c r="H370" s="558"/>
      <c r="I370" s="558"/>
      <c r="J370" s="558"/>
      <c r="K370" s="558"/>
      <c r="L370" s="558"/>
      <c r="M370" s="558"/>
      <c r="N370" s="558"/>
      <c r="O370" s="558"/>
      <c r="P370" s="558"/>
      <c r="Q370" s="558"/>
      <c r="R370" s="558"/>
      <c r="S370" s="558"/>
      <c r="T370" s="558"/>
      <c r="U370" s="558"/>
      <c r="V370" s="558"/>
      <c r="W370" s="558"/>
      <c r="X370" s="558"/>
      <c r="Y370" s="558"/>
      <c r="Z370" s="558"/>
      <c r="AA370" s="558"/>
      <c r="AB370" s="558"/>
      <c r="AC370" s="558"/>
      <c r="AD370" s="558"/>
      <c r="AE370" s="558"/>
      <c r="AF370" s="558"/>
      <c r="AG370" s="558"/>
      <c r="AH370" s="558"/>
      <c r="AI370" s="558"/>
    </row>
    <row r="371" spans="2:35">
      <c r="B371" s="558"/>
      <c r="C371" s="558"/>
      <c r="D371" s="558"/>
      <c r="E371" s="558"/>
      <c r="F371" s="558"/>
      <c r="G371" s="558"/>
      <c r="H371" s="558"/>
      <c r="I371" s="558"/>
      <c r="J371" s="558"/>
      <c r="K371" s="558"/>
      <c r="L371" s="558"/>
      <c r="M371" s="558"/>
      <c r="N371" s="558"/>
      <c r="O371" s="558"/>
      <c r="P371" s="558"/>
      <c r="Q371" s="558"/>
      <c r="R371" s="558"/>
      <c r="S371" s="558"/>
      <c r="T371" s="558"/>
      <c r="U371" s="558"/>
      <c r="V371" s="558"/>
      <c r="W371" s="558"/>
      <c r="X371" s="558"/>
      <c r="Y371" s="558"/>
      <c r="Z371" s="558"/>
      <c r="AA371" s="558"/>
      <c r="AB371" s="558"/>
      <c r="AC371" s="558"/>
      <c r="AD371" s="558"/>
      <c r="AE371" s="558"/>
      <c r="AF371" s="558"/>
      <c r="AG371" s="558"/>
      <c r="AH371" s="558"/>
      <c r="AI371" s="558"/>
    </row>
    <row r="372" spans="2:35">
      <c r="B372" s="558"/>
      <c r="C372" s="558"/>
      <c r="D372" s="558"/>
      <c r="E372" s="558"/>
      <c r="F372" s="558"/>
      <c r="G372" s="558"/>
      <c r="H372" s="558"/>
      <c r="I372" s="558"/>
      <c r="J372" s="558"/>
      <c r="K372" s="558"/>
      <c r="L372" s="558"/>
      <c r="M372" s="558"/>
      <c r="N372" s="558"/>
      <c r="O372" s="558"/>
      <c r="P372" s="558"/>
      <c r="Q372" s="558"/>
      <c r="R372" s="558"/>
      <c r="S372" s="558"/>
      <c r="T372" s="558"/>
      <c r="U372" s="558"/>
      <c r="V372" s="558"/>
      <c r="W372" s="558"/>
      <c r="X372" s="558"/>
      <c r="Y372" s="558"/>
      <c r="Z372" s="558"/>
      <c r="AA372" s="558"/>
      <c r="AB372" s="558"/>
      <c r="AC372" s="558"/>
      <c r="AD372" s="558"/>
      <c r="AE372" s="558"/>
      <c r="AF372" s="558"/>
      <c r="AG372" s="558"/>
      <c r="AH372" s="558"/>
      <c r="AI372" s="558"/>
    </row>
    <row r="373" spans="2:35">
      <c r="B373" s="558"/>
      <c r="C373" s="558"/>
      <c r="D373" s="558"/>
      <c r="E373" s="558"/>
      <c r="F373" s="558"/>
      <c r="G373" s="558"/>
      <c r="H373" s="558"/>
      <c r="I373" s="558"/>
      <c r="J373" s="558"/>
      <c r="K373" s="558"/>
      <c r="L373" s="558"/>
      <c r="M373" s="558"/>
      <c r="N373" s="558"/>
      <c r="O373" s="558"/>
      <c r="P373" s="558"/>
      <c r="Q373" s="558"/>
      <c r="R373" s="558"/>
      <c r="S373" s="558"/>
      <c r="T373" s="558"/>
      <c r="U373" s="558"/>
      <c r="V373" s="558"/>
      <c r="W373" s="558"/>
      <c r="X373" s="558"/>
      <c r="Y373" s="558"/>
      <c r="Z373" s="558"/>
      <c r="AA373" s="558"/>
      <c r="AB373" s="558"/>
      <c r="AC373" s="558"/>
      <c r="AD373" s="558"/>
      <c r="AE373" s="558"/>
      <c r="AF373" s="558"/>
      <c r="AG373" s="558"/>
      <c r="AH373" s="558"/>
      <c r="AI373" s="558"/>
    </row>
    <row r="374" spans="2:35">
      <c r="B374" s="558"/>
      <c r="C374" s="558"/>
      <c r="D374" s="558"/>
      <c r="E374" s="558"/>
      <c r="F374" s="558"/>
      <c r="G374" s="558"/>
      <c r="H374" s="558"/>
      <c r="I374" s="558"/>
      <c r="J374" s="558"/>
      <c r="K374" s="558"/>
      <c r="L374" s="558"/>
      <c r="M374" s="558"/>
      <c r="N374" s="558"/>
      <c r="O374" s="558"/>
      <c r="P374" s="558"/>
      <c r="Q374" s="558"/>
      <c r="R374" s="558"/>
      <c r="S374" s="558"/>
      <c r="T374" s="558"/>
      <c r="U374" s="558"/>
      <c r="V374" s="558"/>
      <c r="W374" s="558"/>
      <c r="X374" s="558"/>
      <c r="Y374" s="558"/>
      <c r="Z374" s="558"/>
      <c r="AA374" s="558"/>
      <c r="AB374" s="558"/>
      <c r="AC374" s="558"/>
      <c r="AD374" s="558"/>
      <c r="AE374" s="558"/>
      <c r="AF374" s="558"/>
      <c r="AG374" s="558"/>
      <c r="AH374" s="558"/>
      <c r="AI374" s="558"/>
    </row>
    <row r="375" spans="2:35">
      <c r="B375" s="558"/>
      <c r="C375" s="558"/>
      <c r="D375" s="558"/>
      <c r="E375" s="558"/>
      <c r="F375" s="558"/>
      <c r="G375" s="558"/>
      <c r="H375" s="558"/>
      <c r="I375" s="558"/>
      <c r="J375" s="558"/>
      <c r="K375" s="558"/>
      <c r="L375" s="558"/>
      <c r="M375" s="558"/>
      <c r="N375" s="558"/>
      <c r="O375" s="558"/>
      <c r="P375" s="558"/>
      <c r="Q375" s="558"/>
      <c r="R375" s="558"/>
      <c r="S375" s="558"/>
      <c r="T375" s="558"/>
      <c r="U375" s="558"/>
      <c r="V375" s="558"/>
      <c r="W375" s="558"/>
      <c r="X375" s="558"/>
      <c r="Y375" s="558"/>
      <c r="Z375" s="558"/>
      <c r="AA375" s="558"/>
      <c r="AB375" s="558"/>
      <c r="AC375" s="558"/>
      <c r="AD375" s="558"/>
      <c r="AE375" s="558"/>
      <c r="AF375" s="558"/>
      <c r="AG375" s="558"/>
      <c r="AH375" s="558"/>
      <c r="AI375" s="558"/>
    </row>
    <row r="376" spans="2:35">
      <c r="B376" s="558"/>
      <c r="C376" s="558"/>
      <c r="D376" s="558"/>
      <c r="E376" s="558"/>
      <c r="F376" s="558"/>
      <c r="G376" s="558"/>
      <c r="H376" s="558"/>
      <c r="I376" s="558"/>
      <c r="J376" s="558"/>
      <c r="K376" s="558"/>
      <c r="L376" s="558"/>
      <c r="M376" s="558"/>
      <c r="N376" s="558"/>
      <c r="O376" s="558"/>
      <c r="P376" s="558"/>
      <c r="Q376" s="558"/>
      <c r="R376" s="558"/>
      <c r="S376" s="558"/>
      <c r="T376" s="558"/>
      <c r="U376" s="558"/>
      <c r="V376" s="558"/>
      <c r="W376" s="558"/>
      <c r="X376" s="558"/>
      <c r="Y376" s="558"/>
      <c r="Z376" s="558"/>
      <c r="AA376" s="558"/>
      <c r="AB376" s="558"/>
      <c r="AC376" s="558"/>
      <c r="AD376" s="558"/>
      <c r="AE376" s="558"/>
      <c r="AF376" s="558"/>
      <c r="AG376" s="558"/>
      <c r="AH376" s="558"/>
      <c r="AI376" s="558"/>
    </row>
    <row r="377" spans="2:35">
      <c r="B377" s="558"/>
      <c r="C377" s="558"/>
      <c r="D377" s="558"/>
      <c r="E377" s="558"/>
      <c r="F377" s="558"/>
      <c r="G377" s="558"/>
      <c r="H377" s="558"/>
      <c r="I377" s="558"/>
      <c r="J377" s="558"/>
      <c r="K377" s="558"/>
      <c r="L377" s="558"/>
      <c r="M377" s="558"/>
      <c r="N377" s="558"/>
      <c r="O377" s="558"/>
      <c r="P377" s="558"/>
      <c r="Q377" s="558"/>
      <c r="R377" s="558"/>
      <c r="S377" s="558"/>
      <c r="T377" s="558"/>
      <c r="U377" s="558"/>
      <c r="V377" s="558"/>
      <c r="W377" s="558"/>
      <c r="X377" s="558"/>
      <c r="Y377" s="558"/>
      <c r="Z377" s="558"/>
      <c r="AA377" s="558"/>
      <c r="AB377" s="558"/>
      <c r="AC377" s="558"/>
      <c r="AD377" s="558"/>
      <c r="AE377" s="558"/>
      <c r="AF377" s="558"/>
      <c r="AG377" s="558"/>
      <c r="AH377" s="558"/>
      <c r="AI377" s="558"/>
    </row>
    <row r="378" spans="2:35">
      <c r="B378" s="558"/>
      <c r="C378" s="558"/>
      <c r="D378" s="558"/>
      <c r="E378" s="558"/>
      <c r="F378" s="558"/>
      <c r="G378" s="558"/>
      <c r="H378" s="558"/>
      <c r="I378" s="558"/>
      <c r="J378" s="558"/>
      <c r="K378" s="558"/>
      <c r="L378" s="558"/>
      <c r="M378" s="558"/>
      <c r="N378" s="558"/>
      <c r="O378" s="558"/>
      <c r="P378" s="558"/>
      <c r="Q378" s="558"/>
      <c r="R378" s="558"/>
      <c r="S378" s="558"/>
      <c r="T378" s="558"/>
      <c r="U378" s="558"/>
      <c r="V378" s="558"/>
      <c r="W378" s="558"/>
      <c r="X378" s="558"/>
      <c r="Y378" s="558"/>
      <c r="Z378" s="558"/>
      <c r="AA378" s="558"/>
      <c r="AB378" s="558"/>
      <c r="AC378" s="558"/>
      <c r="AD378" s="558"/>
      <c r="AE378" s="558"/>
      <c r="AF378" s="558"/>
      <c r="AG378" s="558"/>
      <c r="AH378" s="558"/>
      <c r="AI378" s="558"/>
    </row>
    <row r="379" spans="2:35">
      <c r="B379" s="558"/>
      <c r="C379" s="558"/>
      <c r="D379" s="558"/>
      <c r="E379" s="558"/>
      <c r="F379" s="558"/>
      <c r="G379" s="558"/>
      <c r="H379" s="558"/>
      <c r="I379" s="558"/>
      <c r="J379" s="558"/>
      <c r="K379" s="558"/>
      <c r="L379" s="558"/>
      <c r="M379" s="558"/>
      <c r="N379" s="558"/>
      <c r="O379" s="558"/>
      <c r="P379" s="558"/>
      <c r="Q379" s="558"/>
      <c r="R379" s="558"/>
      <c r="S379" s="558"/>
      <c r="T379" s="558"/>
      <c r="U379" s="558"/>
      <c r="V379" s="558"/>
      <c r="W379" s="558"/>
      <c r="X379" s="558"/>
      <c r="Y379" s="558"/>
      <c r="Z379" s="558"/>
      <c r="AA379" s="558"/>
      <c r="AB379" s="558"/>
      <c r="AC379" s="558"/>
      <c r="AD379" s="558"/>
      <c r="AE379" s="558"/>
      <c r="AF379" s="558"/>
      <c r="AG379" s="558"/>
      <c r="AH379" s="558"/>
      <c r="AI379" s="558"/>
    </row>
    <row r="380" spans="2:35">
      <c r="B380" s="558"/>
      <c r="C380" s="558"/>
      <c r="D380" s="558"/>
      <c r="E380" s="558"/>
      <c r="F380" s="558"/>
      <c r="G380" s="558"/>
      <c r="H380" s="558"/>
      <c r="I380" s="558"/>
      <c r="J380" s="558"/>
      <c r="K380" s="558"/>
      <c r="L380" s="558"/>
      <c r="M380" s="558"/>
      <c r="N380" s="558"/>
      <c r="O380" s="558"/>
      <c r="P380" s="558"/>
      <c r="Q380" s="558"/>
      <c r="R380" s="558"/>
      <c r="S380" s="558"/>
      <c r="T380" s="558"/>
      <c r="U380" s="558"/>
      <c r="V380" s="558"/>
      <c r="W380" s="558"/>
      <c r="X380" s="558"/>
      <c r="Y380" s="558"/>
      <c r="Z380" s="558"/>
      <c r="AA380" s="558"/>
      <c r="AB380" s="558"/>
      <c r="AC380" s="558"/>
      <c r="AD380" s="558"/>
      <c r="AE380" s="558"/>
      <c r="AF380" s="558"/>
      <c r="AG380" s="558"/>
      <c r="AH380" s="558"/>
      <c r="AI380" s="558"/>
    </row>
    <row r="381" spans="2:35">
      <c r="B381" s="558"/>
      <c r="C381" s="558"/>
      <c r="D381" s="558"/>
      <c r="E381" s="558"/>
      <c r="F381" s="558"/>
      <c r="G381" s="558"/>
      <c r="H381" s="558"/>
      <c r="I381" s="558"/>
      <c r="J381" s="558"/>
      <c r="K381" s="558"/>
      <c r="L381" s="558"/>
      <c r="M381" s="558"/>
      <c r="N381" s="558"/>
      <c r="O381" s="558"/>
      <c r="P381" s="558"/>
      <c r="Q381" s="558"/>
      <c r="R381" s="558"/>
      <c r="S381" s="558"/>
      <c r="T381" s="558"/>
      <c r="U381" s="558"/>
      <c r="V381" s="558"/>
      <c r="W381" s="558"/>
      <c r="X381" s="558"/>
      <c r="Y381" s="558"/>
      <c r="Z381" s="558"/>
      <c r="AA381" s="558"/>
      <c r="AB381" s="558"/>
      <c r="AC381" s="558"/>
      <c r="AD381" s="558"/>
      <c r="AE381" s="558"/>
      <c r="AF381" s="558"/>
      <c r="AG381" s="558"/>
      <c r="AH381" s="558"/>
      <c r="AI381" s="558"/>
    </row>
    <row r="382" spans="2:35">
      <c r="B382" s="558"/>
      <c r="C382" s="558"/>
      <c r="D382" s="558"/>
      <c r="E382" s="558"/>
      <c r="F382" s="558"/>
      <c r="G382" s="558"/>
      <c r="H382" s="558"/>
      <c r="I382" s="558"/>
      <c r="J382" s="558"/>
      <c r="K382" s="558"/>
      <c r="L382" s="558"/>
      <c r="M382" s="558"/>
      <c r="N382" s="558"/>
      <c r="O382" s="558"/>
      <c r="P382" s="558"/>
      <c r="Q382" s="558"/>
      <c r="R382" s="558"/>
      <c r="S382" s="558"/>
      <c r="T382" s="558"/>
      <c r="U382" s="558"/>
      <c r="V382" s="558"/>
      <c r="W382" s="558"/>
      <c r="X382" s="558"/>
      <c r="Y382" s="558"/>
      <c r="Z382" s="558"/>
      <c r="AA382" s="558"/>
      <c r="AB382" s="558"/>
      <c r="AC382" s="558"/>
      <c r="AD382" s="558"/>
      <c r="AE382" s="558"/>
      <c r="AF382" s="558"/>
      <c r="AG382" s="558"/>
      <c r="AH382" s="558"/>
      <c r="AI382" s="558"/>
    </row>
    <row r="383" spans="2:35">
      <c r="B383" s="558"/>
      <c r="C383" s="558"/>
      <c r="D383" s="558"/>
      <c r="E383" s="558"/>
      <c r="F383" s="558"/>
      <c r="G383" s="558"/>
      <c r="H383" s="558"/>
      <c r="I383" s="558"/>
      <c r="J383" s="558"/>
      <c r="K383" s="558"/>
      <c r="L383" s="558"/>
      <c r="M383" s="558"/>
      <c r="N383" s="558"/>
      <c r="O383" s="558"/>
      <c r="P383" s="558"/>
      <c r="Q383" s="558"/>
      <c r="R383" s="558"/>
      <c r="S383" s="558"/>
      <c r="T383" s="558"/>
      <c r="U383" s="558"/>
      <c r="V383" s="558"/>
      <c r="W383" s="558"/>
      <c r="X383" s="558"/>
      <c r="Y383" s="558"/>
      <c r="Z383" s="558"/>
      <c r="AA383" s="558"/>
      <c r="AB383" s="558"/>
      <c r="AC383" s="558"/>
      <c r="AD383" s="558"/>
      <c r="AE383" s="558"/>
      <c r="AF383" s="558"/>
      <c r="AG383" s="558"/>
      <c r="AH383" s="558"/>
      <c r="AI383" s="558"/>
    </row>
    <row r="384" spans="2:35">
      <c r="B384" s="558"/>
      <c r="C384" s="558"/>
      <c r="D384" s="558"/>
      <c r="E384" s="558"/>
      <c r="F384" s="558"/>
      <c r="G384" s="558"/>
      <c r="H384" s="558"/>
      <c r="I384" s="558"/>
      <c r="J384" s="558"/>
      <c r="K384" s="558"/>
      <c r="L384" s="558"/>
      <c r="M384" s="558"/>
      <c r="N384" s="558"/>
      <c r="O384" s="558"/>
      <c r="P384" s="558"/>
      <c r="Q384" s="558"/>
      <c r="R384" s="558"/>
      <c r="S384" s="558"/>
      <c r="T384" s="558"/>
      <c r="U384" s="558"/>
      <c r="V384" s="558"/>
      <c r="W384" s="558"/>
      <c r="X384" s="558"/>
      <c r="Y384" s="558"/>
      <c r="Z384" s="558"/>
      <c r="AA384" s="558"/>
      <c r="AB384" s="558"/>
      <c r="AC384" s="558"/>
      <c r="AD384" s="558"/>
      <c r="AE384" s="558"/>
      <c r="AF384" s="558"/>
      <c r="AG384" s="558"/>
      <c r="AH384" s="558"/>
      <c r="AI384" s="558"/>
    </row>
    <row r="385" spans="2:35">
      <c r="B385" s="558"/>
      <c r="C385" s="558"/>
      <c r="D385" s="558"/>
      <c r="E385" s="558"/>
      <c r="F385" s="558"/>
      <c r="G385" s="558"/>
      <c r="H385" s="558"/>
      <c r="I385" s="558"/>
      <c r="J385" s="558"/>
      <c r="K385" s="558"/>
      <c r="L385" s="558"/>
      <c r="M385" s="558"/>
      <c r="N385" s="558"/>
      <c r="O385" s="558"/>
      <c r="P385" s="558"/>
      <c r="Q385" s="558"/>
      <c r="R385" s="558"/>
      <c r="S385" s="558"/>
      <c r="T385" s="558"/>
      <c r="U385" s="558"/>
      <c r="V385" s="558"/>
      <c r="W385" s="558"/>
      <c r="X385" s="558"/>
      <c r="Y385" s="558"/>
      <c r="Z385" s="558"/>
      <c r="AA385" s="558"/>
      <c r="AB385" s="558"/>
      <c r="AC385" s="558"/>
      <c r="AD385" s="558"/>
      <c r="AE385" s="558"/>
      <c r="AF385" s="558"/>
      <c r="AG385" s="558"/>
      <c r="AH385" s="558"/>
      <c r="AI385" s="558"/>
    </row>
    <row r="386" spans="2:35">
      <c r="B386" s="558"/>
      <c r="C386" s="558"/>
      <c r="D386" s="558"/>
      <c r="E386" s="558"/>
      <c r="F386" s="558"/>
      <c r="G386" s="558"/>
      <c r="H386" s="558"/>
      <c r="I386" s="558"/>
      <c r="J386" s="558"/>
      <c r="K386" s="558"/>
      <c r="L386" s="558"/>
      <c r="M386" s="558"/>
      <c r="N386" s="558"/>
      <c r="O386" s="558"/>
      <c r="P386" s="558"/>
      <c r="Q386" s="558"/>
      <c r="R386" s="558"/>
      <c r="S386" s="558"/>
      <c r="T386" s="558"/>
      <c r="U386" s="558"/>
      <c r="V386" s="558"/>
      <c r="W386" s="558"/>
      <c r="X386" s="558"/>
      <c r="Y386" s="558"/>
      <c r="Z386" s="558"/>
      <c r="AA386" s="558"/>
      <c r="AB386" s="558"/>
      <c r="AC386" s="558"/>
      <c r="AD386" s="558"/>
      <c r="AE386" s="558"/>
      <c r="AF386" s="558"/>
      <c r="AG386" s="558"/>
      <c r="AH386" s="558"/>
      <c r="AI386" s="558"/>
    </row>
    <row r="387" spans="2:35">
      <c r="B387" s="558"/>
      <c r="C387" s="558"/>
      <c r="D387" s="558"/>
      <c r="E387" s="558"/>
      <c r="F387" s="558"/>
      <c r="G387" s="558"/>
      <c r="H387" s="558"/>
      <c r="I387" s="558"/>
      <c r="J387" s="558"/>
      <c r="K387" s="558"/>
      <c r="L387" s="558"/>
      <c r="M387" s="558"/>
      <c r="N387" s="558"/>
      <c r="O387" s="558"/>
      <c r="P387" s="558"/>
      <c r="Q387" s="558"/>
      <c r="R387" s="558"/>
      <c r="S387" s="558"/>
      <c r="T387" s="558"/>
      <c r="U387" s="558"/>
      <c r="V387" s="558"/>
      <c r="W387" s="558"/>
      <c r="X387" s="558"/>
      <c r="Y387" s="558"/>
      <c r="Z387" s="558"/>
      <c r="AA387" s="558"/>
      <c r="AB387" s="558"/>
      <c r="AC387" s="558"/>
      <c r="AD387" s="558"/>
      <c r="AE387" s="558"/>
      <c r="AF387" s="558"/>
      <c r="AG387" s="558"/>
      <c r="AH387" s="558"/>
      <c r="AI387" s="558"/>
    </row>
    <row r="388" spans="2:35">
      <c r="B388" s="558"/>
      <c r="C388" s="558"/>
      <c r="D388" s="558"/>
      <c r="E388" s="558"/>
      <c r="F388" s="558"/>
      <c r="G388" s="558"/>
      <c r="H388" s="558"/>
      <c r="I388" s="558"/>
      <c r="J388" s="558"/>
      <c r="K388" s="558"/>
      <c r="L388" s="558"/>
      <c r="M388" s="558"/>
      <c r="N388" s="558"/>
      <c r="O388" s="558"/>
      <c r="P388" s="558"/>
      <c r="Q388" s="558"/>
      <c r="R388" s="558"/>
      <c r="S388" s="558"/>
      <c r="T388" s="558"/>
      <c r="U388" s="558"/>
      <c r="V388" s="558"/>
      <c r="W388" s="558"/>
      <c r="X388" s="558"/>
      <c r="Y388" s="558"/>
      <c r="Z388" s="558"/>
      <c r="AA388" s="558"/>
      <c r="AB388" s="558"/>
      <c r="AC388" s="558"/>
      <c r="AD388" s="558"/>
      <c r="AE388" s="558"/>
      <c r="AF388" s="558"/>
      <c r="AG388" s="558"/>
      <c r="AH388" s="558"/>
      <c r="AI388" s="558"/>
    </row>
    <row r="389" spans="2:35">
      <c r="B389" s="558"/>
      <c r="C389" s="558"/>
      <c r="D389" s="558"/>
      <c r="E389" s="558"/>
      <c r="F389" s="558"/>
      <c r="G389" s="558"/>
      <c r="H389" s="558"/>
      <c r="I389" s="558"/>
      <c r="J389" s="558"/>
      <c r="K389" s="558"/>
      <c r="L389" s="558"/>
      <c r="M389" s="558"/>
      <c r="N389" s="558"/>
      <c r="O389" s="558"/>
      <c r="P389" s="558"/>
      <c r="Q389" s="558"/>
      <c r="R389" s="558"/>
      <c r="S389" s="558"/>
      <c r="T389" s="558"/>
      <c r="U389" s="558"/>
      <c r="V389" s="558"/>
      <c r="W389" s="558"/>
      <c r="X389" s="558"/>
      <c r="Y389" s="558"/>
      <c r="Z389" s="558"/>
      <c r="AA389" s="558"/>
      <c r="AB389" s="558"/>
      <c r="AC389" s="558"/>
      <c r="AD389" s="558"/>
      <c r="AE389" s="558"/>
      <c r="AF389" s="558"/>
      <c r="AG389" s="558"/>
      <c r="AH389" s="558"/>
      <c r="AI389" s="558"/>
    </row>
    <row r="390" spans="2:35">
      <c r="B390" s="558"/>
      <c r="C390" s="558"/>
      <c r="D390" s="558"/>
      <c r="E390" s="558"/>
      <c r="F390" s="558"/>
      <c r="G390" s="558"/>
      <c r="H390" s="558"/>
      <c r="I390" s="558"/>
      <c r="J390" s="558"/>
      <c r="K390" s="558"/>
      <c r="L390" s="558"/>
      <c r="M390" s="558"/>
      <c r="N390" s="558"/>
      <c r="O390" s="558"/>
      <c r="P390" s="558"/>
      <c r="Q390" s="558"/>
      <c r="R390" s="558"/>
      <c r="S390" s="558"/>
      <c r="T390" s="558"/>
      <c r="U390" s="558"/>
      <c r="V390" s="558"/>
      <c r="W390" s="558"/>
      <c r="X390" s="558"/>
      <c r="Y390" s="558"/>
      <c r="Z390" s="558"/>
      <c r="AA390" s="558"/>
      <c r="AB390" s="558"/>
      <c r="AC390" s="558"/>
      <c r="AD390" s="558"/>
      <c r="AE390" s="558"/>
      <c r="AF390" s="558"/>
      <c r="AG390" s="558"/>
      <c r="AH390" s="558"/>
      <c r="AI390" s="558"/>
    </row>
    <row r="391" spans="2:35">
      <c r="B391" s="558"/>
      <c r="C391" s="558"/>
      <c r="D391" s="558"/>
      <c r="E391" s="558"/>
      <c r="F391" s="558"/>
      <c r="G391" s="558"/>
      <c r="H391" s="558"/>
      <c r="I391" s="558"/>
      <c r="J391" s="558"/>
      <c r="K391" s="558"/>
      <c r="L391" s="558"/>
      <c r="M391" s="558"/>
      <c r="N391" s="558"/>
      <c r="O391" s="558"/>
      <c r="P391" s="558"/>
      <c r="Q391" s="558"/>
      <c r="R391" s="558"/>
      <c r="S391" s="558"/>
      <c r="T391" s="558"/>
      <c r="U391" s="558"/>
      <c r="V391" s="558"/>
      <c r="W391" s="558"/>
      <c r="X391" s="558"/>
      <c r="Y391" s="558"/>
      <c r="Z391" s="558"/>
      <c r="AA391" s="558"/>
      <c r="AB391" s="558"/>
      <c r="AC391" s="558"/>
      <c r="AD391" s="558"/>
      <c r="AE391" s="558"/>
      <c r="AF391" s="558"/>
      <c r="AG391" s="558"/>
      <c r="AH391" s="558"/>
      <c r="AI391" s="558"/>
    </row>
    <row r="392" spans="2:35">
      <c r="B392" s="558"/>
      <c r="C392" s="558"/>
      <c r="D392" s="558"/>
      <c r="E392" s="558"/>
      <c r="F392" s="558"/>
      <c r="G392" s="558"/>
      <c r="H392" s="558"/>
      <c r="I392" s="558"/>
      <c r="J392" s="558"/>
      <c r="K392" s="558"/>
      <c r="L392" s="558"/>
      <c r="M392" s="558"/>
      <c r="N392" s="558"/>
      <c r="O392" s="558"/>
      <c r="P392" s="558"/>
      <c r="Q392" s="558"/>
      <c r="R392" s="558"/>
      <c r="S392" s="558"/>
      <c r="T392" s="558"/>
      <c r="U392" s="558"/>
      <c r="V392" s="558"/>
      <c r="W392" s="558"/>
      <c r="X392" s="558"/>
      <c r="Y392" s="558"/>
      <c r="Z392" s="558"/>
      <c r="AA392" s="558"/>
      <c r="AB392" s="558"/>
      <c r="AC392" s="558"/>
      <c r="AD392" s="558"/>
      <c r="AE392" s="558"/>
      <c r="AF392" s="558"/>
      <c r="AG392" s="558"/>
      <c r="AH392" s="558"/>
      <c r="AI392" s="558"/>
    </row>
    <row r="393" spans="2:35">
      <c r="B393" s="558"/>
      <c r="C393" s="558"/>
      <c r="D393" s="558"/>
      <c r="E393" s="558"/>
      <c r="F393" s="558"/>
      <c r="G393" s="558"/>
      <c r="H393" s="558"/>
      <c r="I393" s="558"/>
      <c r="J393" s="558"/>
      <c r="K393" s="558"/>
      <c r="L393" s="558"/>
      <c r="M393" s="558"/>
      <c r="N393" s="558"/>
      <c r="O393" s="558"/>
      <c r="P393" s="558"/>
      <c r="Q393" s="558"/>
      <c r="R393" s="558"/>
      <c r="S393" s="558"/>
      <c r="T393" s="558"/>
      <c r="U393" s="558"/>
      <c r="V393" s="558"/>
      <c r="W393" s="558"/>
      <c r="X393" s="558"/>
      <c r="Y393" s="558"/>
      <c r="Z393" s="558"/>
      <c r="AA393" s="558"/>
      <c r="AB393" s="558"/>
      <c r="AC393" s="558"/>
      <c r="AD393" s="558"/>
      <c r="AE393" s="558"/>
      <c r="AF393" s="558"/>
      <c r="AG393" s="558"/>
      <c r="AH393" s="558"/>
      <c r="AI393" s="558"/>
    </row>
    <row r="394" spans="2:35">
      <c r="B394" s="558"/>
      <c r="C394" s="558"/>
      <c r="D394" s="558"/>
      <c r="E394" s="558"/>
      <c r="F394" s="558"/>
      <c r="G394" s="558"/>
      <c r="H394" s="558"/>
      <c r="I394" s="558"/>
      <c r="J394" s="558"/>
      <c r="K394" s="558"/>
      <c r="L394" s="558"/>
      <c r="M394" s="558"/>
      <c r="N394" s="558"/>
      <c r="O394" s="558"/>
      <c r="P394" s="558"/>
      <c r="Q394" s="558"/>
      <c r="R394" s="558"/>
      <c r="S394" s="558"/>
      <c r="T394" s="558"/>
      <c r="U394" s="558"/>
      <c r="V394" s="558"/>
      <c r="W394" s="558"/>
      <c r="X394" s="558"/>
      <c r="Y394" s="558"/>
      <c r="Z394" s="558"/>
      <c r="AA394" s="558"/>
      <c r="AB394" s="558"/>
      <c r="AC394" s="558"/>
      <c r="AD394" s="558"/>
      <c r="AE394" s="558"/>
      <c r="AF394" s="558"/>
      <c r="AG394" s="558"/>
      <c r="AH394" s="558"/>
      <c r="AI394" s="558"/>
    </row>
    <row r="395" spans="2:35">
      <c r="B395" s="558"/>
      <c r="C395" s="558"/>
      <c r="D395" s="558"/>
      <c r="E395" s="558"/>
      <c r="F395" s="558"/>
      <c r="G395" s="558"/>
      <c r="H395" s="558"/>
      <c r="I395" s="558"/>
      <c r="J395" s="558"/>
      <c r="K395" s="558"/>
      <c r="L395" s="558"/>
      <c r="M395" s="558"/>
      <c r="N395" s="558"/>
      <c r="O395" s="558"/>
      <c r="P395" s="558"/>
      <c r="Q395" s="558"/>
      <c r="R395" s="558"/>
      <c r="S395" s="558"/>
      <c r="T395" s="558"/>
      <c r="U395" s="558"/>
      <c r="V395" s="558"/>
      <c r="W395" s="558"/>
      <c r="X395" s="558"/>
      <c r="Y395" s="558"/>
      <c r="Z395" s="558"/>
      <c r="AA395" s="558"/>
      <c r="AB395" s="558"/>
      <c r="AC395" s="558"/>
      <c r="AD395" s="558"/>
      <c r="AE395" s="558"/>
      <c r="AF395" s="558"/>
      <c r="AG395" s="558"/>
      <c r="AH395" s="558"/>
      <c r="AI395" s="558"/>
    </row>
    <row r="396" spans="2:35">
      <c r="B396" s="558"/>
      <c r="C396" s="558"/>
      <c r="D396" s="558"/>
      <c r="E396" s="558"/>
      <c r="F396" s="558"/>
      <c r="G396" s="558"/>
      <c r="H396" s="558"/>
      <c r="I396" s="558"/>
      <c r="J396" s="558"/>
      <c r="K396" s="558"/>
      <c r="L396" s="558"/>
      <c r="M396" s="558"/>
      <c r="N396" s="558"/>
      <c r="O396" s="558"/>
      <c r="P396" s="558"/>
      <c r="Q396" s="558"/>
      <c r="R396" s="558"/>
      <c r="S396" s="558"/>
      <c r="T396" s="558"/>
      <c r="U396" s="558"/>
      <c r="V396" s="558"/>
      <c r="W396" s="558"/>
      <c r="X396" s="558"/>
      <c r="Y396" s="558"/>
      <c r="Z396" s="558"/>
      <c r="AA396" s="558"/>
      <c r="AB396" s="558"/>
      <c r="AC396" s="558"/>
      <c r="AD396" s="558"/>
      <c r="AE396" s="558"/>
      <c r="AF396" s="558"/>
      <c r="AG396" s="558"/>
      <c r="AH396" s="558"/>
      <c r="AI396" s="558"/>
    </row>
    <row r="397" spans="2:35">
      <c r="B397" s="558"/>
      <c r="C397" s="558"/>
      <c r="D397" s="558"/>
      <c r="E397" s="558"/>
      <c r="F397" s="558"/>
      <c r="G397" s="558"/>
      <c r="H397" s="558"/>
      <c r="I397" s="558"/>
      <c r="J397" s="558"/>
      <c r="K397" s="558"/>
      <c r="L397" s="558"/>
      <c r="M397" s="558"/>
      <c r="N397" s="558"/>
      <c r="O397" s="558"/>
      <c r="P397" s="558"/>
      <c r="Q397" s="558"/>
      <c r="R397" s="558"/>
      <c r="S397" s="558"/>
      <c r="T397" s="558"/>
      <c r="U397" s="558"/>
      <c r="V397" s="558"/>
      <c r="W397" s="558"/>
      <c r="X397" s="558"/>
      <c r="Y397" s="558"/>
      <c r="Z397" s="558"/>
      <c r="AA397" s="558"/>
      <c r="AB397" s="558"/>
      <c r="AC397" s="558"/>
      <c r="AD397" s="558"/>
      <c r="AE397" s="558"/>
      <c r="AF397" s="558"/>
      <c r="AG397" s="558"/>
      <c r="AH397" s="558"/>
      <c r="AI397" s="558"/>
    </row>
    <row r="398" spans="2:35">
      <c r="B398" s="558"/>
      <c r="C398" s="558"/>
      <c r="D398" s="558"/>
      <c r="E398" s="558"/>
      <c r="F398" s="558"/>
      <c r="G398" s="558"/>
      <c r="H398" s="558"/>
      <c r="I398" s="558"/>
      <c r="J398" s="558"/>
      <c r="K398" s="558"/>
      <c r="L398" s="558"/>
      <c r="M398" s="558"/>
      <c r="N398" s="558"/>
      <c r="O398" s="558"/>
      <c r="P398" s="558"/>
      <c r="Q398" s="558"/>
      <c r="R398" s="558"/>
      <c r="S398" s="558"/>
      <c r="T398" s="558"/>
      <c r="U398" s="558"/>
      <c r="V398" s="558"/>
      <c r="W398" s="558"/>
      <c r="X398" s="558"/>
      <c r="Y398" s="558"/>
      <c r="Z398" s="558"/>
      <c r="AA398" s="558"/>
      <c r="AB398" s="558"/>
      <c r="AC398" s="558"/>
      <c r="AD398" s="558"/>
      <c r="AE398" s="558"/>
      <c r="AF398" s="558"/>
      <c r="AG398" s="558"/>
      <c r="AH398" s="558"/>
      <c r="AI398" s="558"/>
    </row>
    <row r="399" spans="2:35">
      <c r="B399" s="558"/>
      <c r="C399" s="558"/>
      <c r="D399" s="558"/>
      <c r="E399" s="558"/>
      <c r="F399" s="558"/>
      <c r="G399" s="558"/>
      <c r="H399" s="558"/>
      <c r="I399" s="558"/>
      <c r="J399" s="558"/>
      <c r="K399" s="558"/>
      <c r="L399" s="558"/>
      <c r="M399" s="558"/>
      <c r="N399" s="558"/>
      <c r="O399" s="558"/>
      <c r="P399" s="558"/>
      <c r="Q399" s="558"/>
      <c r="R399" s="558"/>
      <c r="S399" s="558"/>
      <c r="T399" s="558"/>
      <c r="U399" s="558"/>
      <c r="V399" s="558"/>
      <c r="W399" s="558"/>
      <c r="X399" s="558"/>
      <c r="Y399" s="558"/>
      <c r="Z399" s="558"/>
      <c r="AA399" s="558"/>
      <c r="AB399" s="558"/>
      <c r="AC399" s="558"/>
      <c r="AD399" s="558"/>
      <c r="AE399" s="558"/>
      <c r="AF399" s="558"/>
      <c r="AG399" s="558"/>
      <c r="AH399" s="558"/>
      <c r="AI399" s="558"/>
    </row>
    <row r="400" spans="2:35">
      <c r="B400" s="558"/>
      <c r="C400" s="558"/>
      <c r="D400" s="558"/>
      <c r="E400" s="558"/>
      <c r="F400" s="558"/>
      <c r="G400" s="558"/>
      <c r="H400" s="558"/>
      <c r="I400" s="558"/>
      <c r="J400" s="558"/>
      <c r="K400" s="558"/>
      <c r="L400" s="558"/>
      <c r="M400" s="558"/>
      <c r="N400" s="558"/>
      <c r="O400" s="558"/>
      <c r="P400" s="558"/>
      <c r="Q400" s="558"/>
      <c r="R400" s="558"/>
      <c r="S400" s="558"/>
      <c r="T400" s="558"/>
      <c r="U400" s="558"/>
      <c r="V400" s="558"/>
      <c r="W400" s="558"/>
      <c r="X400" s="558"/>
      <c r="Y400" s="558"/>
      <c r="Z400" s="558"/>
      <c r="AA400" s="558"/>
      <c r="AB400" s="558"/>
      <c r="AC400" s="558"/>
      <c r="AD400" s="558"/>
      <c r="AE400" s="558"/>
      <c r="AF400" s="558"/>
      <c r="AG400" s="558"/>
      <c r="AH400" s="558"/>
      <c r="AI400" s="558"/>
    </row>
    <row r="401" spans="2:35">
      <c r="B401" s="558"/>
      <c r="C401" s="558"/>
      <c r="D401" s="558"/>
      <c r="E401" s="558"/>
      <c r="F401" s="558"/>
      <c r="G401" s="558"/>
      <c r="H401" s="558"/>
      <c r="I401" s="558"/>
      <c r="J401" s="558"/>
      <c r="K401" s="558"/>
      <c r="L401" s="558"/>
      <c r="M401" s="558"/>
      <c r="N401" s="558"/>
      <c r="O401" s="558"/>
      <c r="P401" s="558"/>
      <c r="Q401" s="558"/>
      <c r="R401" s="558"/>
      <c r="S401" s="558"/>
      <c r="T401" s="558"/>
      <c r="U401" s="558"/>
      <c r="V401" s="558"/>
      <c r="W401" s="558"/>
      <c r="X401" s="558"/>
      <c r="Y401" s="558"/>
      <c r="Z401" s="558"/>
      <c r="AA401" s="558"/>
      <c r="AB401" s="558"/>
      <c r="AC401" s="558"/>
      <c r="AD401" s="558"/>
      <c r="AE401" s="558"/>
      <c r="AF401" s="558"/>
      <c r="AG401" s="558"/>
      <c r="AH401" s="558"/>
      <c r="AI401" s="558"/>
    </row>
    <row r="402" spans="2:35">
      <c r="B402" s="558"/>
      <c r="C402" s="558"/>
      <c r="D402" s="558"/>
      <c r="E402" s="558"/>
      <c r="F402" s="558"/>
      <c r="G402" s="558"/>
      <c r="H402" s="558"/>
      <c r="I402" s="558"/>
      <c r="J402" s="558"/>
      <c r="K402" s="558"/>
      <c r="L402" s="558"/>
      <c r="M402" s="558"/>
      <c r="N402" s="558"/>
      <c r="O402" s="558"/>
      <c r="P402" s="558"/>
      <c r="Q402" s="558"/>
      <c r="R402" s="558"/>
      <c r="S402" s="558"/>
      <c r="T402" s="558"/>
      <c r="U402" s="558"/>
      <c r="V402" s="558"/>
      <c r="W402" s="558"/>
      <c r="X402" s="558"/>
      <c r="Y402" s="558"/>
      <c r="Z402" s="558"/>
      <c r="AA402" s="558"/>
      <c r="AB402" s="558"/>
      <c r="AC402" s="558"/>
      <c r="AD402" s="558"/>
      <c r="AE402" s="558"/>
      <c r="AF402" s="558"/>
      <c r="AG402" s="558"/>
      <c r="AH402" s="558"/>
      <c r="AI402" s="558"/>
    </row>
    <row r="403" spans="2:35">
      <c r="B403" s="558"/>
      <c r="C403" s="558"/>
      <c r="D403" s="558"/>
      <c r="E403" s="558"/>
      <c r="F403" s="558"/>
      <c r="G403" s="558"/>
      <c r="H403" s="558"/>
      <c r="I403" s="558"/>
      <c r="J403" s="558"/>
      <c r="K403" s="558"/>
      <c r="L403" s="558"/>
      <c r="M403" s="558"/>
      <c r="N403" s="558"/>
      <c r="O403" s="558"/>
      <c r="P403" s="558"/>
      <c r="Q403" s="558"/>
      <c r="R403" s="558"/>
      <c r="S403" s="558"/>
      <c r="T403" s="558"/>
      <c r="U403" s="558"/>
      <c r="V403" s="558"/>
      <c r="W403" s="558"/>
      <c r="X403" s="558"/>
      <c r="Y403" s="558"/>
      <c r="Z403" s="558"/>
      <c r="AA403" s="558"/>
      <c r="AB403" s="558"/>
      <c r="AC403" s="558"/>
      <c r="AD403" s="558"/>
      <c r="AE403" s="558"/>
      <c r="AF403" s="558"/>
      <c r="AG403" s="558"/>
      <c r="AH403" s="558"/>
      <c r="AI403" s="558"/>
    </row>
    <row r="404" spans="2:35">
      <c r="B404" s="558"/>
      <c r="C404" s="558"/>
      <c r="D404" s="558"/>
      <c r="E404" s="558"/>
      <c r="F404" s="558"/>
      <c r="G404" s="558"/>
      <c r="H404" s="558"/>
      <c r="I404" s="558"/>
      <c r="J404" s="558"/>
      <c r="K404" s="558"/>
      <c r="L404" s="558"/>
      <c r="M404" s="558"/>
      <c r="N404" s="558"/>
      <c r="O404" s="558"/>
      <c r="P404" s="558"/>
      <c r="Q404" s="558"/>
      <c r="R404" s="558"/>
      <c r="S404" s="558"/>
      <c r="T404" s="558"/>
      <c r="U404" s="558"/>
      <c r="V404" s="558"/>
      <c r="W404" s="558"/>
      <c r="X404" s="558"/>
      <c r="Y404" s="558"/>
      <c r="Z404" s="558"/>
      <c r="AA404" s="558"/>
      <c r="AB404" s="558"/>
      <c r="AC404" s="558"/>
      <c r="AD404" s="558"/>
      <c r="AE404" s="558"/>
      <c r="AF404" s="558"/>
      <c r="AG404" s="558"/>
      <c r="AH404" s="558"/>
      <c r="AI404" s="558"/>
    </row>
    <row r="405" spans="2:35">
      <c r="B405" s="558"/>
      <c r="C405" s="558"/>
      <c r="D405" s="558"/>
      <c r="E405" s="558"/>
      <c r="F405" s="558"/>
      <c r="G405" s="558"/>
      <c r="H405" s="558"/>
      <c r="I405" s="558"/>
      <c r="J405" s="558"/>
      <c r="K405" s="558"/>
      <c r="L405" s="558"/>
      <c r="M405" s="558"/>
      <c r="N405" s="558"/>
      <c r="O405" s="558"/>
      <c r="P405" s="558"/>
      <c r="Q405" s="558"/>
      <c r="R405" s="558"/>
      <c r="S405" s="558"/>
      <c r="T405" s="558"/>
      <c r="U405" s="558"/>
      <c r="V405" s="558"/>
      <c r="W405" s="558"/>
      <c r="X405" s="558"/>
      <c r="Y405" s="558"/>
      <c r="Z405" s="558"/>
      <c r="AA405" s="558"/>
      <c r="AB405" s="558"/>
      <c r="AC405" s="558"/>
      <c r="AD405" s="558"/>
      <c r="AE405" s="558"/>
      <c r="AF405" s="558"/>
      <c r="AG405" s="558"/>
      <c r="AH405" s="558"/>
      <c r="AI405" s="558"/>
    </row>
    <row r="406" spans="2:35">
      <c r="B406" s="558"/>
      <c r="C406" s="558"/>
      <c r="D406" s="558"/>
      <c r="E406" s="558"/>
      <c r="F406" s="558"/>
      <c r="G406" s="558"/>
      <c r="H406" s="558"/>
      <c r="I406" s="558"/>
      <c r="J406" s="558"/>
      <c r="K406" s="558"/>
      <c r="L406" s="558"/>
      <c r="M406" s="558"/>
      <c r="N406" s="558"/>
      <c r="O406" s="558"/>
      <c r="P406" s="558"/>
      <c r="Q406" s="558"/>
      <c r="R406" s="558"/>
      <c r="S406" s="558"/>
      <c r="T406" s="558"/>
      <c r="U406" s="558"/>
      <c r="V406" s="558"/>
      <c r="W406" s="558"/>
      <c r="X406" s="558"/>
      <c r="Y406" s="558"/>
      <c r="Z406" s="558"/>
      <c r="AA406" s="558"/>
      <c r="AB406" s="558"/>
      <c r="AC406" s="558"/>
      <c r="AD406" s="558"/>
      <c r="AE406" s="558"/>
      <c r="AF406" s="558"/>
      <c r="AG406" s="558"/>
      <c r="AH406" s="558"/>
      <c r="AI406" s="558"/>
    </row>
    <row r="407" spans="2:35">
      <c r="B407" s="558"/>
      <c r="C407" s="558"/>
      <c r="D407" s="558"/>
      <c r="E407" s="558"/>
      <c r="F407" s="558"/>
      <c r="G407" s="558"/>
      <c r="H407" s="558"/>
      <c r="I407" s="558"/>
      <c r="J407" s="558"/>
      <c r="K407" s="558"/>
      <c r="L407" s="558"/>
      <c r="M407" s="558"/>
      <c r="N407" s="558"/>
      <c r="O407" s="558"/>
      <c r="P407" s="558"/>
      <c r="Q407" s="558"/>
      <c r="R407" s="558"/>
      <c r="S407" s="558"/>
      <c r="T407" s="558"/>
      <c r="U407" s="558"/>
      <c r="V407" s="558"/>
      <c r="W407" s="558"/>
      <c r="X407" s="558"/>
      <c r="Y407" s="558"/>
      <c r="Z407" s="558"/>
      <c r="AA407" s="558"/>
      <c r="AB407" s="558"/>
      <c r="AC407" s="558"/>
      <c r="AD407" s="558"/>
      <c r="AE407" s="558"/>
      <c r="AF407" s="558"/>
      <c r="AG407" s="558"/>
      <c r="AH407" s="558"/>
      <c r="AI407" s="558"/>
    </row>
    <row r="408" spans="2:35">
      <c r="B408" s="558"/>
      <c r="C408" s="558"/>
      <c r="D408" s="558"/>
      <c r="E408" s="558"/>
      <c r="F408" s="558"/>
      <c r="G408" s="558"/>
      <c r="H408" s="558"/>
      <c r="I408" s="558"/>
      <c r="J408" s="558"/>
      <c r="K408" s="558"/>
      <c r="L408" s="558"/>
      <c r="M408" s="558"/>
      <c r="N408" s="558"/>
      <c r="O408" s="558"/>
      <c r="P408" s="558"/>
      <c r="Q408" s="558"/>
      <c r="R408" s="558"/>
      <c r="S408" s="558"/>
      <c r="T408" s="558"/>
      <c r="U408" s="558"/>
      <c r="V408" s="558"/>
      <c r="W408" s="558"/>
      <c r="X408" s="558"/>
      <c r="Y408" s="558"/>
      <c r="Z408" s="558"/>
      <c r="AA408" s="558"/>
      <c r="AB408" s="558"/>
      <c r="AC408" s="558"/>
      <c r="AD408" s="558"/>
      <c r="AE408" s="558"/>
      <c r="AF408" s="558"/>
      <c r="AG408" s="558"/>
      <c r="AH408" s="558"/>
      <c r="AI408" s="558"/>
    </row>
    <row r="409" spans="2:35">
      <c r="B409" s="558"/>
      <c r="C409" s="558"/>
      <c r="D409" s="558"/>
      <c r="E409" s="558"/>
      <c r="F409" s="558"/>
      <c r="G409" s="558"/>
      <c r="H409" s="558"/>
      <c r="I409" s="558"/>
      <c r="J409" s="558"/>
      <c r="K409" s="558"/>
      <c r="L409" s="558"/>
      <c r="M409" s="558"/>
      <c r="N409" s="558"/>
      <c r="O409" s="558"/>
      <c r="P409" s="558"/>
      <c r="Q409" s="558"/>
      <c r="R409" s="558"/>
      <c r="S409" s="558"/>
      <c r="T409" s="558"/>
      <c r="U409" s="558"/>
      <c r="V409" s="558"/>
      <c r="W409" s="558"/>
      <c r="X409" s="558"/>
      <c r="Y409" s="558"/>
      <c r="Z409" s="558"/>
      <c r="AA409" s="558"/>
      <c r="AB409" s="558"/>
      <c r="AC409" s="558"/>
      <c r="AD409" s="558"/>
      <c r="AE409" s="558"/>
      <c r="AF409" s="558"/>
      <c r="AG409" s="558"/>
      <c r="AH409" s="558"/>
      <c r="AI409" s="558"/>
    </row>
    <row r="410" spans="2:35">
      <c r="B410" s="558"/>
      <c r="C410" s="558"/>
      <c r="D410" s="558"/>
      <c r="E410" s="558"/>
      <c r="F410" s="558"/>
      <c r="G410" s="558"/>
      <c r="H410" s="558"/>
      <c r="I410" s="558"/>
      <c r="J410" s="558"/>
      <c r="K410" s="558"/>
      <c r="L410" s="558"/>
      <c r="M410" s="558"/>
      <c r="N410" s="558"/>
      <c r="O410" s="558"/>
      <c r="P410" s="558"/>
      <c r="Q410" s="558"/>
      <c r="R410" s="558"/>
      <c r="S410" s="558"/>
      <c r="T410" s="558"/>
      <c r="U410" s="558"/>
      <c r="V410" s="558"/>
      <c r="W410" s="558"/>
      <c r="X410" s="558"/>
      <c r="Y410" s="558"/>
      <c r="Z410" s="558"/>
      <c r="AA410" s="558"/>
      <c r="AB410" s="558"/>
      <c r="AC410" s="558"/>
      <c r="AD410" s="558"/>
      <c r="AE410" s="558"/>
      <c r="AF410" s="558"/>
      <c r="AG410" s="558"/>
      <c r="AH410" s="558"/>
      <c r="AI410" s="558"/>
    </row>
    <row r="411" spans="2:35">
      <c r="B411" s="558"/>
      <c r="C411" s="558"/>
      <c r="D411" s="558"/>
      <c r="E411" s="558"/>
      <c r="F411" s="558"/>
      <c r="G411" s="558"/>
      <c r="H411" s="558"/>
      <c r="I411" s="558"/>
      <c r="J411" s="558"/>
      <c r="K411" s="558"/>
      <c r="L411" s="558"/>
      <c r="M411" s="558"/>
      <c r="N411" s="558"/>
      <c r="O411" s="558"/>
      <c r="P411" s="558"/>
      <c r="Q411" s="558"/>
      <c r="R411" s="558"/>
      <c r="S411" s="558"/>
      <c r="T411" s="558"/>
      <c r="U411" s="558"/>
      <c r="V411" s="558"/>
      <c r="W411" s="558"/>
      <c r="X411" s="558"/>
      <c r="Y411" s="558"/>
      <c r="Z411" s="558"/>
      <c r="AA411" s="558"/>
      <c r="AB411" s="558"/>
      <c r="AC411" s="558"/>
      <c r="AD411" s="558"/>
      <c r="AE411" s="558"/>
      <c r="AF411" s="558"/>
      <c r="AG411" s="558"/>
      <c r="AH411" s="558"/>
      <c r="AI411" s="558"/>
    </row>
    <row r="412" spans="2:35">
      <c r="B412" s="558"/>
      <c r="C412" s="558"/>
      <c r="D412" s="558"/>
      <c r="E412" s="558"/>
      <c r="F412" s="558"/>
      <c r="G412" s="558"/>
      <c r="H412" s="558"/>
      <c r="I412" s="558"/>
      <c r="J412" s="558"/>
      <c r="K412" s="558"/>
      <c r="L412" s="558"/>
      <c r="M412" s="558"/>
      <c r="N412" s="558"/>
      <c r="O412" s="558"/>
      <c r="P412" s="558"/>
      <c r="Q412" s="558"/>
      <c r="R412" s="558"/>
      <c r="S412" s="558"/>
      <c r="T412" s="558"/>
      <c r="U412" s="558"/>
      <c r="V412" s="558"/>
      <c r="W412" s="558"/>
      <c r="X412" s="558"/>
      <c r="Y412" s="558"/>
      <c r="Z412" s="558"/>
      <c r="AA412" s="558"/>
      <c r="AB412" s="558"/>
      <c r="AC412" s="558"/>
      <c r="AD412" s="558"/>
      <c r="AE412" s="558"/>
      <c r="AF412" s="558"/>
      <c r="AG412" s="558"/>
      <c r="AH412" s="558"/>
      <c r="AI412" s="558"/>
    </row>
    <row r="413" spans="2:35">
      <c r="B413" s="558"/>
      <c r="C413" s="558"/>
      <c r="D413" s="558"/>
      <c r="E413" s="558"/>
      <c r="F413" s="558"/>
      <c r="G413" s="558"/>
      <c r="H413" s="558"/>
      <c r="I413" s="558"/>
      <c r="J413" s="558"/>
      <c r="K413" s="558"/>
      <c r="L413" s="558"/>
      <c r="M413" s="558"/>
      <c r="N413" s="558"/>
      <c r="O413" s="558"/>
      <c r="P413" s="558"/>
      <c r="Q413" s="558"/>
      <c r="R413" s="558"/>
      <c r="S413" s="558"/>
      <c r="T413" s="558"/>
      <c r="U413" s="558"/>
      <c r="V413" s="558"/>
      <c r="W413" s="558"/>
      <c r="X413" s="558"/>
      <c r="Y413" s="558"/>
      <c r="Z413" s="558"/>
      <c r="AA413" s="558"/>
      <c r="AB413" s="558"/>
      <c r="AC413" s="558"/>
      <c r="AD413" s="558"/>
      <c r="AE413" s="558"/>
      <c r="AF413" s="558"/>
      <c r="AG413" s="558"/>
      <c r="AH413" s="558"/>
      <c r="AI413" s="558"/>
    </row>
    <row r="414" spans="2:35">
      <c r="B414" s="558"/>
      <c r="C414" s="558"/>
      <c r="D414" s="558"/>
      <c r="E414" s="558"/>
      <c r="F414" s="558"/>
      <c r="G414" s="558"/>
      <c r="H414" s="558"/>
      <c r="I414" s="558"/>
      <c r="J414" s="558"/>
      <c r="K414" s="558"/>
      <c r="L414" s="558"/>
      <c r="M414" s="558"/>
      <c r="N414" s="558"/>
      <c r="O414" s="558"/>
      <c r="P414" s="558"/>
      <c r="Q414" s="558"/>
      <c r="R414" s="558"/>
      <c r="S414" s="558"/>
      <c r="T414" s="558"/>
      <c r="U414" s="558"/>
      <c r="V414" s="558"/>
      <c r="W414" s="558"/>
      <c r="X414" s="558"/>
      <c r="Y414" s="558"/>
      <c r="Z414" s="558"/>
      <c r="AA414" s="558"/>
      <c r="AB414" s="558"/>
      <c r="AC414" s="558"/>
      <c r="AD414" s="558"/>
      <c r="AE414" s="558"/>
      <c r="AF414" s="558"/>
      <c r="AG414" s="558"/>
      <c r="AH414" s="558"/>
      <c r="AI414" s="558"/>
    </row>
  </sheetData>
  <mergeCells count="11">
    <mergeCell ref="Y7:AB7"/>
    <mergeCell ref="A1:AF1"/>
    <mergeCell ref="A2:AF2"/>
    <mergeCell ref="A3:AF3"/>
    <mergeCell ref="B7:E7"/>
    <mergeCell ref="F7:I7"/>
    <mergeCell ref="J7:M7"/>
    <mergeCell ref="N7:Q7"/>
    <mergeCell ref="AC7:AF7"/>
    <mergeCell ref="R7:T7"/>
    <mergeCell ref="U7:X7"/>
  </mergeCells>
  <phoneticPr fontId="19" type="noConversion"/>
  <pageMargins left="0.39370078740157483" right="0.59055118110236227" top="0.39370078740157483" bottom="0.39370078740157483" header="0" footer="0"/>
  <pageSetup paperSize="5" scale="73" orientation="landscape" horizontalDpi="300" verticalDpi="300" r:id="rId1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47"/>
  <sheetViews>
    <sheetView topLeftCell="H28" zoomScale="75" workbookViewId="0">
      <selection activeCell="T24" sqref="T24"/>
    </sheetView>
  </sheetViews>
  <sheetFormatPr baseColWidth="10" defaultColWidth="26.85546875" defaultRowHeight="12"/>
  <cols>
    <col min="1" max="1" width="26.85546875" style="209" customWidth="1"/>
    <col min="2" max="77" width="7.140625" style="209" customWidth="1"/>
    <col min="78" max="16384" width="26.85546875" style="209"/>
  </cols>
  <sheetData>
    <row r="1" spans="1:32">
      <c r="A1" s="1225" t="s">
        <v>1057</v>
      </c>
      <c r="B1" s="1225"/>
      <c r="C1" s="1225"/>
      <c r="D1" s="1225"/>
      <c r="E1" s="1225"/>
      <c r="F1" s="1225"/>
      <c r="G1" s="1225"/>
      <c r="H1" s="1225"/>
      <c r="I1" s="1225"/>
      <c r="J1" s="1225"/>
      <c r="K1" s="1225"/>
      <c r="L1" s="1225"/>
      <c r="M1" s="1225"/>
      <c r="N1" s="1225"/>
      <c r="O1" s="1225"/>
      <c r="P1" s="1225"/>
      <c r="Q1" s="1225"/>
      <c r="R1" s="1225"/>
      <c r="S1" s="1225"/>
      <c r="T1" s="1225"/>
      <c r="U1" s="1225"/>
      <c r="V1" s="1225"/>
      <c r="W1" s="1225"/>
      <c r="X1" s="1225"/>
      <c r="Y1" s="1225"/>
      <c r="Z1" s="1225"/>
      <c r="AA1" s="1225"/>
      <c r="AB1" s="1225"/>
      <c r="AC1" s="1225"/>
      <c r="AD1" s="1225"/>
      <c r="AE1" s="1225"/>
      <c r="AF1" s="1225"/>
    </row>
    <row r="2" spans="1:32">
      <c r="A2" s="1225" t="s">
        <v>1100</v>
      </c>
      <c r="B2" s="1225"/>
      <c r="C2" s="1225"/>
      <c r="D2" s="1225"/>
      <c r="E2" s="1225"/>
      <c r="F2" s="1225"/>
      <c r="G2" s="1225"/>
      <c r="H2" s="1225"/>
      <c r="I2" s="1225"/>
      <c r="J2" s="1225"/>
      <c r="K2" s="1225"/>
      <c r="L2" s="1225"/>
      <c r="M2" s="1225"/>
      <c r="N2" s="1225"/>
      <c r="O2" s="1225"/>
      <c r="P2" s="1225"/>
      <c r="Q2" s="1225"/>
      <c r="R2" s="1225"/>
      <c r="S2" s="1225"/>
      <c r="T2" s="1225"/>
      <c r="U2" s="1225"/>
      <c r="V2" s="1225"/>
      <c r="W2" s="1225"/>
      <c r="X2" s="1225"/>
      <c r="Y2" s="1225"/>
      <c r="Z2" s="1225"/>
      <c r="AA2" s="1225"/>
      <c r="AB2" s="1225"/>
      <c r="AC2" s="1225"/>
      <c r="AD2" s="1225"/>
      <c r="AE2" s="1225"/>
      <c r="AF2" s="1225"/>
    </row>
    <row r="3" spans="1:32">
      <c r="A3" s="1225" t="s">
        <v>970</v>
      </c>
      <c r="B3" s="1225"/>
      <c r="C3" s="1225"/>
      <c r="D3" s="1225"/>
      <c r="E3" s="1225"/>
      <c r="F3" s="1225"/>
      <c r="G3" s="1225"/>
      <c r="H3" s="1225"/>
      <c r="I3" s="1225"/>
      <c r="J3" s="1225"/>
      <c r="K3" s="1225"/>
      <c r="L3" s="1225"/>
      <c r="M3" s="1225"/>
      <c r="N3" s="1225"/>
      <c r="O3" s="1225"/>
      <c r="P3" s="1225"/>
      <c r="Q3" s="1225"/>
      <c r="R3" s="1225"/>
      <c r="S3" s="1225"/>
      <c r="T3" s="1225"/>
      <c r="U3" s="1225"/>
      <c r="V3" s="1225"/>
      <c r="W3" s="1225"/>
      <c r="X3" s="1225"/>
      <c r="Y3" s="1225"/>
      <c r="Z3" s="1225"/>
      <c r="AA3" s="1225"/>
      <c r="AB3" s="1225"/>
      <c r="AC3" s="1225"/>
      <c r="AD3" s="1225"/>
      <c r="AE3" s="1225"/>
      <c r="AF3" s="1225"/>
    </row>
    <row r="6" spans="1:32">
      <c r="A6" s="407" t="s">
        <v>1059</v>
      </c>
    </row>
    <row r="7" spans="1:32" s="8" customFormat="1" ht="18" customHeight="1">
      <c r="A7" s="346" t="s">
        <v>1060</v>
      </c>
      <c r="B7" s="1249" t="s">
        <v>1061</v>
      </c>
      <c r="C7" s="1250"/>
      <c r="D7" s="1250"/>
      <c r="E7" s="1250"/>
      <c r="F7" s="1249" t="s">
        <v>976</v>
      </c>
      <c r="G7" s="1250"/>
      <c r="H7" s="1250"/>
      <c r="I7" s="1251"/>
      <c r="J7" s="1250" t="s">
        <v>1062</v>
      </c>
      <c r="K7" s="1250"/>
      <c r="L7" s="1250"/>
      <c r="M7" s="1250"/>
      <c r="N7" s="1249" t="s">
        <v>1026</v>
      </c>
      <c r="O7" s="1250"/>
      <c r="P7" s="1250"/>
      <c r="Q7" s="1251"/>
      <c r="R7" s="1249" t="s">
        <v>1363</v>
      </c>
      <c r="S7" s="1250"/>
      <c r="T7" s="1251"/>
      <c r="U7" s="1220" t="s">
        <v>1101</v>
      </c>
      <c r="V7" s="1221"/>
      <c r="W7" s="1221"/>
      <c r="X7" s="1222"/>
      <c r="Y7" s="1220" t="str">
        <f>+'59'!Y7:AB7</f>
        <v>CONS. LOS ANDES N°1 MUNICIPAL</v>
      </c>
      <c r="Z7" s="1221"/>
      <c r="AA7" s="1221"/>
      <c r="AB7" s="1222"/>
      <c r="AC7" s="1250" t="s">
        <v>706</v>
      </c>
      <c r="AD7" s="1250"/>
      <c r="AE7" s="1250"/>
      <c r="AF7" s="1251"/>
    </row>
    <row r="8" spans="1:32" s="8" customFormat="1" ht="18" customHeight="1">
      <c r="A8" s="15"/>
      <c r="B8" s="305">
        <f>+'59'!B8</f>
        <v>2011</v>
      </c>
      <c r="C8" s="305">
        <f>+'59'!C8</f>
        <v>2012</v>
      </c>
      <c r="D8" s="305">
        <f>+'59'!D8</f>
        <v>2013</v>
      </c>
      <c r="E8" s="305">
        <f>+'59'!E8</f>
        <v>2014</v>
      </c>
      <c r="F8" s="550">
        <f>+'59'!F8</f>
        <v>2011</v>
      </c>
      <c r="G8" s="547">
        <f>+'59'!G8</f>
        <v>2012</v>
      </c>
      <c r="H8" s="547">
        <f>+'59'!H8</f>
        <v>2013</v>
      </c>
      <c r="I8" s="548">
        <f>+'59'!I8</f>
        <v>2014</v>
      </c>
      <c r="J8" s="305">
        <f>+'59'!J8</f>
        <v>2011</v>
      </c>
      <c r="K8" s="305">
        <f>+'59'!K8</f>
        <v>2012</v>
      </c>
      <c r="L8" s="305">
        <f>+'59'!L8</f>
        <v>2013</v>
      </c>
      <c r="M8" s="305">
        <f>+'59'!M8</f>
        <v>2014</v>
      </c>
      <c r="N8" s="550">
        <f>+'59'!N8</f>
        <v>2011</v>
      </c>
      <c r="O8" s="547">
        <f>+'59'!O8</f>
        <v>2012</v>
      </c>
      <c r="P8" s="547">
        <f>+'59'!P8</f>
        <v>2013</v>
      </c>
      <c r="Q8" s="547">
        <f>+'59'!Q8</f>
        <v>2014</v>
      </c>
      <c r="R8" s="385">
        <f>+O8</f>
        <v>2012</v>
      </c>
      <c r="S8" s="1168">
        <f>+P8</f>
        <v>2013</v>
      </c>
      <c r="T8" s="387">
        <f>+Q8</f>
        <v>2014</v>
      </c>
      <c r="U8" s="489">
        <f>+'59'!U8</f>
        <v>2011</v>
      </c>
      <c r="V8" s="539">
        <f>+'59'!V8</f>
        <v>2012</v>
      </c>
      <c r="W8" s="539">
        <f>+'59'!W8</f>
        <v>2013</v>
      </c>
      <c r="X8" s="544">
        <f>+'59'!X8</f>
        <v>2014</v>
      </c>
      <c r="Y8" s="385">
        <f>+U8</f>
        <v>2011</v>
      </c>
      <c r="Z8" s="386">
        <f>+V8</f>
        <v>2012</v>
      </c>
      <c r="AA8" s="386">
        <f>+W8</f>
        <v>2013</v>
      </c>
      <c r="AB8" s="387">
        <f>+X8</f>
        <v>2014</v>
      </c>
      <c r="AC8" s="539">
        <f>+'59'!AC8</f>
        <v>2011</v>
      </c>
      <c r="AD8" s="539">
        <f>+'59'!AD8</f>
        <v>2012</v>
      </c>
      <c r="AE8" s="539">
        <f>+'59'!AE8</f>
        <v>2013</v>
      </c>
      <c r="AF8" s="544">
        <f>+'59'!AF8</f>
        <v>2014</v>
      </c>
    </row>
    <row r="9" spans="1:32" s="8" customFormat="1" ht="18" customHeight="1">
      <c r="A9" s="346" t="s">
        <v>1063</v>
      </c>
      <c r="B9" s="566"/>
      <c r="C9" s="567"/>
      <c r="D9" s="567"/>
      <c r="E9" s="14"/>
      <c r="F9" s="566"/>
      <c r="G9" s="567"/>
      <c r="H9" s="567"/>
      <c r="I9" s="14"/>
      <c r="J9" s="566"/>
      <c r="K9" s="567"/>
      <c r="L9" s="567"/>
      <c r="M9" s="14"/>
      <c r="N9" s="567"/>
      <c r="O9" s="567"/>
      <c r="P9" s="567"/>
      <c r="Q9" s="567"/>
      <c r="R9" s="377"/>
      <c r="S9" s="378"/>
      <c r="T9" s="500"/>
      <c r="U9" s="568"/>
      <c r="V9" s="569"/>
      <c r="W9" s="569"/>
      <c r="X9" s="109"/>
      <c r="Y9" s="569"/>
      <c r="Z9" s="569"/>
      <c r="AA9" s="569"/>
      <c r="AB9" s="109"/>
      <c r="AC9" s="556">
        <f t="shared" ref="AC9:AF10" si="0">+N9+J9+F9+B9+U9+Y9</f>
        <v>0</v>
      </c>
      <c r="AD9" s="556">
        <f t="shared" si="0"/>
        <v>0</v>
      </c>
      <c r="AE9" s="556">
        <f t="shared" si="0"/>
        <v>0</v>
      </c>
      <c r="AF9" s="541">
        <f t="shared" si="0"/>
        <v>0</v>
      </c>
    </row>
    <row r="10" spans="1:32" s="8" customFormat="1" ht="18" customHeight="1">
      <c r="A10" s="95" t="s">
        <v>1064</v>
      </c>
      <c r="B10" s="556">
        <v>6510</v>
      </c>
      <c r="C10" s="556">
        <v>6591</v>
      </c>
      <c r="D10" s="556">
        <v>6661</v>
      </c>
      <c r="E10" s="541">
        <v>7613</v>
      </c>
      <c r="F10" s="556">
        <v>5119</v>
      </c>
      <c r="G10" s="556">
        <v>4434</v>
      </c>
      <c r="H10" s="556">
        <v>4421</v>
      </c>
      <c r="I10" s="541">
        <v>3711</v>
      </c>
      <c r="J10" s="557"/>
      <c r="K10" s="556"/>
      <c r="L10" s="556"/>
      <c r="M10" s="541"/>
      <c r="N10" s="556"/>
      <c r="O10" s="556"/>
      <c r="P10" s="556"/>
      <c r="Q10" s="556"/>
      <c r="R10" s="377"/>
      <c r="S10" s="378"/>
      <c r="T10" s="500"/>
      <c r="U10" s="557"/>
      <c r="V10" s="556"/>
      <c r="W10" s="556"/>
      <c r="X10" s="541"/>
      <c r="Y10" s="556"/>
      <c r="Z10" s="556"/>
      <c r="AA10" s="556"/>
      <c r="AB10" s="541"/>
      <c r="AC10" s="556">
        <f t="shared" si="0"/>
        <v>11629</v>
      </c>
      <c r="AD10" s="556">
        <f t="shared" si="0"/>
        <v>11025</v>
      </c>
      <c r="AE10" s="556">
        <f t="shared" si="0"/>
        <v>11082</v>
      </c>
      <c r="AF10" s="541">
        <f t="shared" si="0"/>
        <v>11324</v>
      </c>
    </row>
    <row r="11" spans="1:32" s="8" customFormat="1" ht="18" customHeight="1">
      <c r="A11" s="95" t="s">
        <v>1065</v>
      </c>
      <c r="B11" s="556"/>
      <c r="C11" s="556"/>
      <c r="D11" s="556"/>
      <c r="E11" s="541"/>
      <c r="F11" s="556"/>
      <c r="G11" s="556"/>
      <c r="H11" s="556"/>
      <c r="I11" s="541"/>
      <c r="J11" s="557"/>
      <c r="K11" s="556"/>
      <c r="L11" s="556"/>
      <c r="M11" s="541"/>
      <c r="N11" s="556"/>
      <c r="O11" s="556"/>
      <c r="P11" s="556"/>
      <c r="Q11" s="556"/>
      <c r="R11" s="377"/>
      <c r="S11" s="378"/>
      <c r="T11" s="500"/>
      <c r="U11" s="557"/>
      <c r="V11" s="556"/>
      <c r="W11" s="556"/>
      <c r="X11" s="541"/>
      <c r="Y11" s="556"/>
      <c r="Z11" s="556"/>
      <c r="AA11" s="556"/>
      <c r="AB11" s="541"/>
      <c r="AC11" s="556">
        <f t="shared" ref="AC11:AC35" si="1">+N11+J11+F11+B11+U11+Y11</f>
        <v>0</v>
      </c>
      <c r="AD11" s="556">
        <f t="shared" ref="AD11:AD35" si="2">+O11+K11+G11+C11+V11+Z11</f>
        <v>0</v>
      </c>
      <c r="AE11" s="556">
        <f t="shared" ref="AE11:AE27" si="3">+P11+L11+H11+D11+W11+AA11</f>
        <v>0</v>
      </c>
      <c r="AF11" s="541">
        <f t="shared" ref="AF11:AF27" si="4">+Q11+M11+I11+E11+X11+AB11</f>
        <v>0</v>
      </c>
    </row>
    <row r="12" spans="1:32" s="8" customFormat="1" ht="18" customHeight="1">
      <c r="A12" s="95" t="s">
        <v>1066</v>
      </c>
      <c r="B12" s="556"/>
      <c r="C12" s="556"/>
      <c r="D12" s="556"/>
      <c r="E12" s="541"/>
      <c r="F12" s="556">
        <v>580</v>
      </c>
      <c r="G12" s="556">
        <v>549</v>
      </c>
      <c r="H12" s="556">
        <v>444</v>
      </c>
      <c r="I12" s="541">
        <v>263</v>
      </c>
      <c r="J12" s="557"/>
      <c r="K12" s="556"/>
      <c r="L12" s="556"/>
      <c r="M12" s="541"/>
      <c r="N12" s="556"/>
      <c r="O12" s="556"/>
      <c r="P12" s="556"/>
      <c r="Q12" s="556"/>
      <c r="R12" s="377"/>
      <c r="S12" s="378"/>
      <c r="T12" s="500"/>
      <c r="U12" s="557"/>
      <c r="V12" s="556"/>
      <c r="W12" s="556"/>
      <c r="X12" s="541"/>
      <c r="Y12" s="556"/>
      <c r="Z12" s="556"/>
      <c r="AA12" s="556"/>
      <c r="AB12" s="541"/>
      <c r="AC12" s="556">
        <f t="shared" si="1"/>
        <v>580</v>
      </c>
      <c r="AD12" s="556">
        <f t="shared" si="2"/>
        <v>549</v>
      </c>
      <c r="AE12" s="556">
        <f t="shared" si="3"/>
        <v>444</v>
      </c>
      <c r="AF12" s="541">
        <f t="shared" si="4"/>
        <v>263</v>
      </c>
    </row>
    <row r="13" spans="1:32" s="8" customFormat="1" ht="18" customHeight="1">
      <c r="A13" s="95" t="s">
        <v>1099</v>
      </c>
      <c r="B13" s="556">
        <v>995</v>
      </c>
      <c r="C13" s="556">
        <v>903</v>
      </c>
      <c r="D13" s="556">
        <v>1015</v>
      </c>
      <c r="E13" s="541">
        <v>889</v>
      </c>
      <c r="F13" s="556">
        <v>806</v>
      </c>
      <c r="G13" s="556">
        <v>843</v>
      </c>
      <c r="H13" s="556">
        <v>765</v>
      </c>
      <c r="I13" s="541">
        <v>716</v>
      </c>
      <c r="J13" s="557"/>
      <c r="K13" s="556"/>
      <c r="L13" s="556"/>
      <c r="M13" s="541"/>
      <c r="N13" s="556"/>
      <c r="O13" s="556"/>
      <c r="P13" s="556"/>
      <c r="Q13" s="556"/>
      <c r="R13" s="377"/>
      <c r="S13" s="378"/>
      <c r="T13" s="500"/>
      <c r="U13" s="557"/>
      <c r="V13" s="556"/>
      <c r="W13" s="556"/>
      <c r="X13" s="541"/>
      <c r="Y13" s="556"/>
      <c r="Z13" s="556"/>
      <c r="AA13" s="556"/>
      <c r="AB13" s="541"/>
      <c r="AC13" s="556">
        <f t="shared" si="1"/>
        <v>1801</v>
      </c>
      <c r="AD13" s="556">
        <f t="shared" si="2"/>
        <v>1746</v>
      </c>
      <c r="AE13" s="556">
        <f t="shared" si="3"/>
        <v>1780</v>
      </c>
      <c r="AF13" s="541">
        <f t="shared" si="4"/>
        <v>1605</v>
      </c>
    </row>
    <row r="14" spans="1:32" s="8" customFormat="1" ht="18" customHeight="1">
      <c r="A14" s="540" t="s">
        <v>1068</v>
      </c>
      <c r="B14" s="556"/>
      <c r="C14" s="556"/>
      <c r="D14" s="556"/>
      <c r="E14" s="541"/>
      <c r="F14" s="556">
        <v>584</v>
      </c>
      <c r="G14" s="556">
        <v>819</v>
      </c>
      <c r="H14" s="556">
        <v>401</v>
      </c>
      <c r="I14" s="541">
        <v>372</v>
      </c>
      <c r="J14" s="557"/>
      <c r="K14" s="556"/>
      <c r="L14" s="556"/>
      <c r="M14" s="541"/>
      <c r="N14" s="556"/>
      <c r="O14" s="556"/>
      <c r="P14" s="556"/>
      <c r="Q14" s="556"/>
      <c r="R14" s="377"/>
      <c r="S14" s="378"/>
      <c r="T14" s="500"/>
      <c r="U14" s="557"/>
      <c r="V14" s="556"/>
      <c r="W14" s="556"/>
      <c r="X14" s="541"/>
      <c r="Y14" s="556"/>
      <c r="Z14" s="556"/>
      <c r="AA14" s="556"/>
      <c r="AB14" s="541"/>
      <c r="AC14" s="556">
        <f t="shared" si="1"/>
        <v>584</v>
      </c>
      <c r="AD14" s="556">
        <f t="shared" si="2"/>
        <v>819</v>
      </c>
      <c r="AE14" s="556">
        <f t="shared" si="3"/>
        <v>401</v>
      </c>
      <c r="AF14" s="541">
        <f t="shared" si="4"/>
        <v>372</v>
      </c>
    </row>
    <row r="15" spans="1:32" s="8" customFormat="1" ht="18" customHeight="1">
      <c r="A15" s="540" t="s">
        <v>1069</v>
      </c>
      <c r="B15" s="556">
        <v>498</v>
      </c>
      <c r="C15" s="556">
        <v>508</v>
      </c>
      <c r="D15" s="556">
        <v>453</v>
      </c>
      <c r="E15" s="541">
        <v>530</v>
      </c>
      <c r="F15" s="556">
        <v>692</v>
      </c>
      <c r="G15" s="556">
        <v>335</v>
      </c>
      <c r="H15" s="556">
        <v>294</v>
      </c>
      <c r="I15" s="541">
        <v>220</v>
      </c>
      <c r="J15" s="557"/>
      <c r="K15" s="556"/>
      <c r="L15" s="556"/>
      <c r="M15" s="541"/>
      <c r="N15" s="556"/>
      <c r="O15" s="556"/>
      <c r="P15" s="556"/>
      <c r="Q15" s="556"/>
      <c r="R15" s="377"/>
      <c r="S15" s="378"/>
      <c r="T15" s="500"/>
      <c r="U15" s="557"/>
      <c r="V15" s="556"/>
      <c r="W15" s="556"/>
      <c r="X15" s="541"/>
      <c r="Y15" s="556"/>
      <c r="Z15" s="556"/>
      <c r="AA15" s="556"/>
      <c r="AB15" s="541"/>
      <c r="AC15" s="556">
        <f t="shared" si="1"/>
        <v>1190</v>
      </c>
      <c r="AD15" s="556">
        <f t="shared" si="2"/>
        <v>843</v>
      </c>
      <c r="AE15" s="556">
        <f t="shared" si="3"/>
        <v>747</v>
      </c>
      <c r="AF15" s="541">
        <f t="shared" si="4"/>
        <v>750</v>
      </c>
    </row>
    <row r="16" spans="1:32" s="8" customFormat="1" ht="18" customHeight="1">
      <c r="A16" s="540" t="s">
        <v>1070</v>
      </c>
      <c r="B16" s="556">
        <v>282</v>
      </c>
      <c r="C16" s="556">
        <v>322</v>
      </c>
      <c r="D16" s="556">
        <v>314</v>
      </c>
      <c r="E16" s="541">
        <v>373</v>
      </c>
      <c r="F16" s="556"/>
      <c r="G16" s="556"/>
      <c r="H16" s="556"/>
      <c r="I16" s="541"/>
      <c r="J16" s="557"/>
      <c r="K16" s="556"/>
      <c r="L16" s="556"/>
      <c r="M16" s="541"/>
      <c r="N16" s="556"/>
      <c r="O16" s="556"/>
      <c r="P16" s="556"/>
      <c r="Q16" s="556"/>
      <c r="R16" s="377"/>
      <c r="S16" s="378"/>
      <c r="T16" s="500"/>
      <c r="U16" s="557"/>
      <c r="V16" s="556"/>
      <c r="W16" s="556"/>
      <c r="X16" s="541"/>
      <c r="Y16" s="556"/>
      <c r="Z16" s="556"/>
      <c r="AA16" s="556"/>
      <c r="AB16" s="541"/>
      <c r="AC16" s="556">
        <f t="shared" si="1"/>
        <v>282</v>
      </c>
      <c r="AD16" s="556">
        <f t="shared" si="2"/>
        <v>322</v>
      </c>
      <c r="AE16" s="556">
        <f t="shared" si="3"/>
        <v>314</v>
      </c>
      <c r="AF16" s="541">
        <f t="shared" si="4"/>
        <v>373</v>
      </c>
    </row>
    <row r="17" spans="1:32" s="8" customFormat="1" ht="18" customHeight="1">
      <c r="A17" s="540" t="s">
        <v>1071</v>
      </c>
      <c r="B17" s="556">
        <v>553</v>
      </c>
      <c r="C17" s="556">
        <v>522</v>
      </c>
      <c r="D17" s="556">
        <v>551</v>
      </c>
      <c r="E17" s="541">
        <v>534</v>
      </c>
      <c r="F17" s="556"/>
      <c r="G17" s="556"/>
      <c r="H17" s="556"/>
      <c r="I17" s="541"/>
      <c r="J17" s="557"/>
      <c r="K17" s="556"/>
      <c r="L17" s="556"/>
      <c r="M17" s="541"/>
      <c r="N17" s="556"/>
      <c r="O17" s="556"/>
      <c r="P17" s="556"/>
      <c r="Q17" s="556"/>
      <c r="R17" s="377"/>
      <c r="S17" s="378"/>
      <c r="T17" s="500"/>
      <c r="U17" s="557"/>
      <c r="V17" s="556"/>
      <c r="W17" s="556"/>
      <c r="X17" s="541"/>
      <c r="Y17" s="556"/>
      <c r="Z17" s="556"/>
      <c r="AA17" s="556"/>
      <c r="AB17" s="541"/>
      <c r="AC17" s="556">
        <f t="shared" si="1"/>
        <v>553</v>
      </c>
      <c r="AD17" s="556">
        <f t="shared" si="2"/>
        <v>522</v>
      </c>
      <c r="AE17" s="556">
        <f t="shared" si="3"/>
        <v>551</v>
      </c>
      <c r="AF17" s="541">
        <f t="shared" si="4"/>
        <v>534</v>
      </c>
    </row>
    <row r="18" spans="1:32" s="8" customFormat="1" ht="18" customHeight="1">
      <c r="A18" s="540" t="s">
        <v>1072</v>
      </c>
      <c r="B18" s="556"/>
      <c r="C18" s="556"/>
      <c r="D18" s="556"/>
      <c r="E18" s="541"/>
      <c r="F18" s="556">
        <v>2288</v>
      </c>
      <c r="G18" s="556">
        <v>1865</v>
      </c>
      <c r="H18" s="556">
        <v>1436</v>
      </c>
      <c r="I18" s="541">
        <v>1212</v>
      </c>
      <c r="J18" s="557"/>
      <c r="K18" s="556"/>
      <c r="L18" s="556"/>
      <c r="M18" s="541"/>
      <c r="N18" s="556"/>
      <c r="O18" s="556"/>
      <c r="P18" s="556"/>
      <c r="Q18" s="556"/>
      <c r="R18" s="377"/>
      <c r="S18" s="378"/>
      <c r="T18" s="500"/>
      <c r="U18" s="557"/>
      <c r="V18" s="556"/>
      <c r="W18" s="556"/>
      <c r="X18" s="541"/>
      <c r="Y18" s="556"/>
      <c r="Z18" s="556"/>
      <c r="AA18" s="556"/>
      <c r="AB18" s="541"/>
      <c r="AC18" s="556">
        <f t="shared" si="1"/>
        <v>2288</v>
      </c>
      <c r="AD18" s="556">
        <f t="shared" si="2"/>
        <v>1865</v>
      </c>
      <c r="AE18" s="556">
        <f t="shared" si="3"/>
        <v>1436</v>
      </c>
      <c r="AF18" s="541">
        <f t="shared" si="4"/>
        <v>1212</v>
      </c>
    </row>
    <row r="19" spans="1:32" s="8" customFormat="1" ht="18" customHeight="1">
      <c r="A19" s="95" t="s">
        <v>1073</v>
      </c>
      <c r="B19" s="556"/>
      <c r="C19" s="556"/>
      <c r="D19" s="556"/>
      <c r="E19" s="541"/>
      <c r="F19" s="556">
        <v>2264</v>
      </c>
      <c r="G19" s="556">
        <v>2026</v>
      </c>
      <c r="H19" s="556">
        <v>2032</v>
      </c>
      <c r="I19" s="541">
        <v>1917</v>
      </c>
      <c r="J19" s="557"/>
      <c r="K19" s="556"/>
      <c r="L19" s="556"/>
      <c r="M19" s="541"/>
      <c r="N19" s="556"/>
      <c r="O19" s="556"/>
      <c r="P19" s="556"/>
      <c r="Q19" s="556"/>
      <c r="R19" s="377"/>
      <c r="S19" s="378"/>
      <c r="T19" s="500"/>
      <c r="U19" s="557"/>
      <c r="V19" s="556"/>
      <c r="W19" s="556"/>
      <c r="X19" s="541"/>
      <c r="Y19" s="556"/>
      <c r="Z19" s="556"/>
      <c r="AA19" s="556"/>
      <c r="AB19" s="541"/>
      <c r="AC19" s="556">
        <f t="shared" si="1"/>
        <v>2264</v>
      </c>
      <c r="AD19" s="556">
        <f t="shared" si="2"/>
        <v>2026</v>
      </c>
      <c r="AE19" s="556">
        <f t="shared" si="3"/>
        <v>2032</v>
      </c>
      <c r="AF19" s="541">
        <f t="shared" si="4"/>
        <v>1917</v>
      </c>
    </row>
    <row r="20" spans="1:32" s="8" customFormat="1" ht="18" customHeight="1">
      <c r="A20" s="95" t="s">
        <v>1074</v>
      </c>
      <c r="B20" s="556"/>
      <c r="C20" s="556"/>
      <c r="D20" s="556"/>
      <c r="E20" s="541"/>
      <c r="F20" s="556">
        <v>248</v>
      </c>
      <c r="G20" s="556">
        <v>410</v>
      </c>
      <c r="H20" s="556">
        <v>324</v>
      </c>
      <c r="I20" s="541">
        <v>307</v>
      </c>
      <c r="J20" s="557"/>
      <c r="K20" s="556"/>
      <c r="L20" s="556"/>
      <c r="M20" s="541"/>
      <c r="N20" s="556"/>
      <c r="O20" s="556"/>
      <c r="P20" s="556"/>
      <c r="Q20" s="556"/>
      <c r="R20" s="377"/>
      <c r="S20" s="378"/>
      <c r="T20" s="500"/>
      <c r="U20" s="557"/>
      <c r="V20" s="556"/>
      <c r="W20" s="556"/>
      <c r="X20" s="541"/>
      <c r="Y20" s="556"/>
      <c r="Z20" s="556"/>
      <c r="AA20" s="556"/>
      <c r="AB20" s="541"/>
      <c r="AC20" s="556">
        <f t="shared" si="1"/>
        <v>248</v>
      </c>
      <c r="AD20" s="556">
        <f t="shared" si="2"/>
        <v>410</v>
      </c>
      <c r="AE20" s="556">
        <f t="shared" si="3"/>
        <v>324</v>
      </c>
      <c r="AF20" s="541">
        <f t="shared" si="4"/>
        <v>307</v>
      </c>
    </row>
    <row r="21" spans="1:32" s="8" customFormat="1" ht="18" customHeight="1">
      <c r="A21" s="1077" t="s">
        <v>863</v>
      </c>
      <c r="B21" s="556"/>
      <c r="C21" s="556"/>
      <c r="D21" s="556"/>
      <c r="E21" s="541"/>
      <c r="F21" s="556">
        <v>299</v>
      </c>
      <c r="G21" s="556">
        <v>316</v>
      </c>
      <c r="H21" s="556">
        <v>395</v>
      </c>
      <c r="I21" s="541">
        <v>482</v>
      </c>
      <c r="J21" s="557"/>
      <c r="K21" s="556"/>
      <c r="L21" s="556"/>
      <c r="M21" s="541"/>
      <c r="N21" s="556"/>
      <c r="O21" s="556"/>
      <c r="P21" s="556"/>
      <c r="Q21" s="541"/>
      <c r="R21" s="377"/>
      <c r="S21" s="378"/>
      <c r="T21" s="500"/>
      <c r="U21" s="556"/>
      <c r="V21" s="556"/>
      <c r="W21" s="556"/>
      <c r="X21" s="541"/>
      <c r="Y21" s="556"/>
      <c r="Z21" s="556"/>
      <c r="AA21" s="556"/>
      <c r="AB21" s="541"/>
      <c r="AC21" s="556">
        <f>+N21+J21+F21+B21+U21+Y21</f>
        <v>299</v>
      </c>
      <c r="AD21" s="556">
        <f>+O21+K21+G21+C21+V21+Z21</f>
        <v>316</v>
      </c>
      <c r="AE21" s="556">
        <f t="shared" si="3"/>
        <v>395</v>
      </c>
      <c r="AF21" s="541">
        <f t="shared" si="4"/>
        <v>482</v>
      </c>
    </row>
    <row r="22" spans="1:32" s="8" customFormat="1" ht="18" customHeight="1">
      <c r="A22" s="95" t="s">
        <v>1075</v>
      </c>
      <c r="B22" s="556">
        <v>2744</v>
      </c>
      <c r="C22" s="556">
        <v>1967</v>
      </c>
      <c r="D22" s="556">
        <v>1674</v>
      </c>
      <c r="E22" s="541">
        <v>1737</v>
      </c>
      <c r="F22" s="556">
        <v>151</v>
      </c>
      <c r="G22" s="556">
        <v>85</v>
      </c>
      <c r="H22" s="556">
        <v>124</v>
      </c>
      <c r="I22" s="541">
        <v>101</v>
      </c>
      <c r="J22" s="557"/>
      <c r="K22" s="556"/>
      <c r="L22" s="556"/>
      <c r="M22" s="541"/>
      <c r="N22" s="556"/>
      <c r="O22" s="556"/>
      <c r="P22" s="556"/>
      <c r="Q22" s="541"/>
      <c r="R22" s="377"/>
      <c r="S22" s="378"/>
      <c r="T22" s="500"/>
      <c r="U22" s="556"/>
      <c r="V22" s="556"/>
      <c r="W22" s="556"/>
      <c r="X22" s="541"/>
      <c r="Y22" s="556"/>
      <c r="Z22" s="556"/>
      <c r="AA22" s="556"/>
      <c r="AB22" s="541"/>
      <c r="AC22" s="556">
        <f t="shared" si="1"/>
        <v>2895</v>
      </c>
      <c r="AD22" s="556">
        <f t="shared" si="2"/>
        <v>2052</v>
      </c>
      <c r="AE22" s="556">
        <f t="shared" si="3"/>
        <v>1798</v>
      </c>
      <c r="AF22" s="541">
        <f t="shared" si="4"/>
        <v>1838</v>
      </c>
    </row>
    <row r="23" spans="1:32" s="8" customFormat="1" ht="18" customHeight="1">
      <c r="A23" s="95" t="s">
        <v>1076</v>
      </c>
      <c r="B23" s="556"/>
      <c r="C23" s="556"/>
      <c r="D23" s="556"/>
      <c r="E23" s="541"/>
      <c r="F23" s="556"/>
      <c r="G23" s="556"/>
      <c r="H23" s="556"/>
      <c r="I23" s="541"/>
      <c r="J23" s="557"/>
      <c r="K23" s="556"/>
      <c r="L23" s="556"/>
      <c r="M23" s="541"/>
      <c r="N23" s="556">
        <v>3775</v>
      </c>
      <c r="O23" s="556">
        <v>3361</v>
      </c>
      <c r="P23" s="556">
        <v>2870</v>
      </c>
      <c r="Q23" s="541">
        <v>2635</v>
      </c>
      <c r="R23" s="377">
        <v>410</v>
      </c>
      <c r="S23" s="378">
        <v>495</v>
      </c>
      <c r="T23" s="500">
        <v>468</v>
      </c>
      <c r="U23" s="556"/>
      <c r="V23" s="556"/>
      <c r="W23" s="556"/>
      <c r="X23" s="541"/>
      <c r="Y23" s="556"/>
      <c r="Z23" s="556"/>
      <c r="AA23" s="556"/>
      <c r="AB23" s="541"/>
      <c r="AC23" s="556">
        <f t="shared" si="1"/>
        <v>3775</v>
      </c>
      <c r="AD23" s="556">
        <f>+O23+K23+G23+C23+V23+Z23+R23</f>
        <v>3771</v>
      </c>
      <c r="AE23" s="556">
        <f>+P23+L23+H23+D23+W23+AA23+S23</f>
        <v>3365</v>
      </c>
      <c r="AF23" s="541">
        <f>+Q23+M23+I23+E23+T23+X23+AB23</f>
        <v>3103</v>
      </c>
    </row>
    <row r="24" spans="1:32" s="8" customFormat="1" ht="18" customHeight="1">
      <c r="A24" s="95" t="s">
        <v>1077</v>
      </c>
      <c r="B24" s="556">
        <v>6225</v>
      </c>
      <c r="C24" s="556">
        <v>6502</v>
      </c>
      <c r="D24" s="556">
        <v>6150</v>
      </c>
      <c r="E24" s="541">
        <v>6141</v>
      </c>
      <c r="F24" s="556">
        <v>4212</v>
      </c>
      <c r="G24" s="556">
        <v>3729</v>
      </c>
      <c r="H24" s="556">
        <v>3604</v>
      </c>
      <c r="I24" s="541">
        <v>3684</v>
      </c>
      <c r="J24" s="557"/>
      <c r="K24" s="556"/>
      <c r="L24" s="556"/>
      <c r="M24" s="541"/>
      <c r="N24" s="556"/>
      <c r="O24" s="556"/>
      <c r="P24" s="556"/>
      <c r="Q24" s="541"/>
      <c r="R24" s="377"/>
      <c r="S24" s="378"/>
      <c r="T24" s="500"/>
      <c r="U24" s="556"/>
      <c r="V24" s="556"/>
      <c r="W24" s="556"/>
      <c r="X24" s="541"/>
      <c r="Y24" s="556"/>
      <c r="Z24" s="556"/>
      <c r="AA24" s="556"/>
      <c r="AB24" s="541"/>
      <c r="AC24" s="556">
        <f t="shared" si="1"/>
        <v>10437</v>
      </c>
      <c r="AD24" s="556">
        <f t="shared" si="2"/>
        <v>10231</v>
      </c>
      <c r="AE24" s="556">
        <f t="shared" si="3"/>
        <v>9754</v>
      </c>
      <c r="AF24" s="541">
        <f t="shared" si="4"/>
        <v>9825</v>
      </c>
    </row>
    <row r="25" spans="1:32" s="8" customFormat="1" ht="18" customHeight="1">
      <c r="A25" s="95" t="s">
        <v>1078</v>
      </c>
      <c r="B25" s="556"/>
      <c r="C25" s="556"/>
      <c r="D25" s="556"/>
      <c r="E25" s="541"/>
      <c r="F25" s="556">
        <v>1222</v>
      </c>
      <c r="G25" s="556">
        <v>1147</v>
      </c>
      <c r="H25" s="556">
        <v>1241</v>
      </c>
      <c r="I25" s="541">
        <v>1335</v>
      </c>
      <c r="J25" s="557"/>
      <c r="K25" s="556"/>
      <c r="L25" s="556"/>
      <c r="M25" s="541"/>
      <c r="N25" s="556"/>
      <c r="O25" s="556"/>
      <c r="P25" s="556"/>
      <c r="Q25" s="541"/>
      <c r="R25" s="377"/>
      <c r="S25" s="378"/>
      <c r="T25" s="500"/>
      <c r="U25" s="556"/>
      <c r="V25" s="556"/>
      <c r="W25" s="556"/>
      <c r="X25" s="541"/>
      <c r="Y25" s="556"/>
      <c r="Z25" s="556"/>
      <c r="AA25" s="556"/>
      <c r="AB25" s="541"/>
      <c r="AC25" s="556">
        <f t="shared" si="1"/>
        <v>1222</v>
      </c>
      <c r="AD25" s="556">
        <f t="shared" si="2"/>
        <v>1147</v>
      </c>
      <c r="AE25" s="556">
        <f t="shared" si="3"/>
        <v>1241</v>
      </c>
      <c r="AF25" s="541">
        <f t="shared" si="4"/>
        <v>1335</v>
      </c>
    </row>
    <row r="26" spans="1:32" s="8" customFormat="1" ht="18" customHeight="1">
      <c r="A26" s="1077" t="s">
        <v>1198</v>
      </c>
      <c r="B26" s="556"/>
      <c r="C26" s="556"/>
      <c r="D26" s="556"/>
      <c r="E26" s="541"/>
      <c r="F26" s="556">
        <v>50</v>
      </c>
      <c r="G26" s="556"/>
      <c r="H26" s="556"/>
      <c r="I26" s="541"/>
      <c r="J26" s="557"/>
      <c r="K26" s="556"/>
      <c r="L26" s="556"/>
      <c r="M26" s="541"/>
      <c r="N26" s="556"/>
      <c r="O26" s="556"/>
      <c r="P26" s="556"/>
      <c r="Q26" s="541"/>
      <c r="R26" s="377"/>
      <c r="S26" s="378"/>
      <c r="T26" s="500"/>
      <c r="U26" s="556"/>
      <c r="V26" s="556"/>
      <c r="W26" s="556"/>
      <c r="X26" s="541"/>
      <c r="Y26" s="556"/>
      <c r="Z26" s="556"/>
      <c r="AA26" s="556"/>
      <c r="AB26" s="541"/>
      <c r="AC26" s="556">
        <f>+N26+J26+F26+B26+U26+Y26</f>
        <v>50</v>
      </c>
      <c r="AD26" s="556">
        <f>+O26+K26+G26+C26+V26+Z26</f>
        <v>0</v>
      </c>
      <c r="AE26" s="556">
        <f t="shared" si="3"/>
        <v>0</v>
      </c>
      <c r="AF26" s="541">
        <f t="shared" si="4"/>
        <v>0</v>
      </c>
    </row>
    <row r="27" spans="1:32" s="8" customFormat="1" ht="18" customHeight="1">
      <c r="A27" s="95" t="s">
        <v>1079</v>
      </c>
      <c r="B27" s="556"/>
      <c r="C27" s="556"/>
      <c r="D27" s="556"/>
      <c r="E27" s="541"/>
      <c r="F27" s="556">
        <v>315</v>
      </c>
      <c r="G27" s="556">
        <v>347</v>
      </c>
      <c r="H27" s="556">
        <v>509</v>
      </c>
      <c r="I27" s="541">
        <v>594</v>
      </c>
      <c r="J27" s="557"/>
      <c r="K27" s="556"/>
      <c r="L27" s="556"/>
      <c r="M27" s="541"/>
      <c r="N27" s="556"/>
      <c r="O27" s="556"/>
      <c r="P27" s="556"/>
      <c r="Q27" s="541"/>
      <c r="R27" s="377"/>
      <c r="S27" s="378"/>
      <c r="T27" s="500"/>
      <c r="U27" s="556"/>
      <c r="V27" s="556"/>
      <c r="W27" s="556"/>
      <c r="X27" s="541"/>
      <c r="Y27" s="556"/>
      <c r="Z27" s="556"/>
      <c r="AA27" s="556"/>
      <c r="AB27" s="541"/>
      <c r="AC27" s="556">
        <f t="shared" si="1"/>
        <v>315</v>
      </c>
      <c r="AD27" s="556">
        <f t="shared" si="2"/>
        <v>347</v>
      </c>
      <c r="AE27" s="556">
        <f t="shared" si="3"/>
        <v>509</v>
      </c>
      <c r="AF27" s="541">
        <f t="shared" si="4"/>
        <v>594</v>
      </c>
    </row>
    <row r="28" spans="1:32" s="8" customFormat="1" ht="18" customHeight="1">
      <c r="A28" s="95" t="s">
        <v>1080</v>
      </c>
      <c r="B28" s="556">
        <v>2408</v>
      </c>
      <c r="C28" s="556">
        <v>2244</v>
      </c>
      <c r="D28" s="556">
        <v>1907</v>
      </c>
      <c r="E28" s="541">
        <v>2080</v>
      </c>
      <c r="F28" s="556"/>
      <c r="G28" s="556"/>
      <c r="H28" s="556"/>
      <c r="I28" s="541"/>
      <c r="J28" s="556"/>
      <c r="K28" s="556"/>
      <c r="L28" s="556"/>
      <c r="M28" s="541"/>
      <c r="N28" s="556"/>
      <c r="O28" s="556"/>
      <c r="P28" s="556"/>
      <c r="Q28" s="541"/>
      <c r="R28" s="377"/>
      <c r="S28" s="378"/>
      <c r="T28" s="500"/>
      <c r="U28" s="556"/>
      <c r="V28" s="556"/>
      <c r="W28" s="556"/>
      <c r="X28" s="541"/>
      <c r="Y28" s="556"/>
      <c r="Z28" s="556"/>
      <c r="AA28" s="556"/>
      <c r="AB28" s="541"/>
      <c r="AC28" s="556">
        <f t="shared" si="1"/>
        <v>2408</v>
      </c>
      <c r="AD28" s="556">
        <f t="shared" si="2"/>
        <v>2244</v>
      </c>
      <c r="AE28" s="556">
        <f t="shared" ref="AE28:AE35" si="5">+P28+L28+H28+D28+W28+AA28</f>
        <v>1907</v>
      </c>
      <c r="AF28" s="541">
        <f t="shared" ref="AF28:AF35" si="6">+Q28+M28+I28+E28+X28+AB28</f>
        <v>2080</v>
      </c>
    </row>
    <row r="29" spans="1:32" s="8" customFormat="1" ht="18" customHeight="1">
      <c r="A29" s="95" t="s">
        <v>1081</v>
      </c>
      <c r="B29" s="556">
        <v>2412</v>
      </c>
      <c r="C29" s="556">
        <v>2662</v>
      </c>
      <c r="D29" s="556">
        <v>2311</v>
      </c>
      <c r="E29" s="541">
        <v>2224</v>
      </c>
      <c r="F29" s="556">
        <v>2305</v>
      </c>
      <c r="G29" s="556">
        <v>2329</v>
      </c>
      <c r="H29" s="556">
        <v>2505</v>
      </c>
      <c r="I29" s="541">
        <v>2726</v>
      </c>
      <c r="J29" s="556">
        <v>616</v>
      </c>
      <c r="K29" s="556">
        <v>891</v>
      </c>
      <c r="L29" s="556">
        <v>695</v>
      </c>
      <c r="M29" s="541">
        <v>735</v>
      </c>
      <c r="N29" s="556"/>
      <c r="O29" s="556"/>
      <c r="P29" s="556"/>
      <c r="Q29" s="541"/>
      <c r="R29" s="377"/>
      <c r="S29" s="378"/>
      <c r="T29" s="500"/>
      <c r="U29" s="556"/>
      <c r="V29" s="556"/>
      <c r="W29" s="556"/>
      <c r="X29" s="541"/>
      <c r="Y29" s="556"/>
      <c r="Z29" s="556"/>
      <c r="AA29" s="556"/>
      <c r="AB29" s="541"/>
      <c r="AC29" s="556">
        <f t="shared" si="1"/>
        <v>5333</v>
      </c>
      <c r="AD29" s="556">
        <f t="shared" si="2"/>
        <v>5882</v>
      </c>
      <c r="AE29" s="556">
        <f t="shared" si="5"/>
        <v>5511</v>
      </c>
      <c r="AF29" s="541">
        <f t="shared" si="6"/>
        <v>5685</v>
      </c>
    </row>
    <row r="30" spans="1:32" s="8" customFormat="1" ht="18" customHeight="1">
      <c r="A30" s="95" t="s">
        <v>1082</v>
      </c>
      <c r="B30" s="556">
        <v>3509</v>
      </c>
      <c r="C30" s="556">
        <v>4031</v>
      </c>
      <c r="D30" s="556">
        <v>3654</v>
      </c>
      <c r="E30" s="541">
        <v>3918</v>
      </c>
      <c r="F30" s="556">
        <v>4507</v>
      </c>
      <c r="G30" s="556">
        <v>3639</v>
      </c>
      <c r="H30" s="556">
        <v>4066</v>
      </c>
      <c r="I30" s="541">
        <v>3570</v>
      </c>
      <c r="J30" s="556">
        <v>385</v>
      </c>
      <c r="K30" s="556">
        <v>558</v>
      </c>
      <c r="L30" s="556">
        <v>146</v>
      </c>
      <c r="M30" s="541"/>
      <c r="N30" s="556"/>
      <c r="O30" s="556"/>
      <c r="P30" s="556"/>
      <c r="Q30" s="541"/>
      <c r="R30" s="377"/>
      <c r="S30" s="378"/>
      <c r="T30" s="500"/>
      <c r="U30" s="556"/>
      <c r="V30" s="556"/>
      <c r="W30" s="556"/>
      <c r="X30" s="541"/>
      <c r="Y30" s="556"/>
      <c r="Z30" s="556"/>
      <c r="AA30" s="556"/>
      <c r="AB30" s="541"/>
      <c r="AC30" s="556">
        <f t="shared" si="1"/>
        <v>8401</v>
      </c>
      <c r="AD30" s="556">
        <f t="shared" si="2"/>
        <v>8228</v>
      </c>
      <c r="AE30" s="556">
        <f t="shared" si="5"/>
        <v>7866</v>
      </c>
      <c r="AF30" s="541">
        <f t="shared" si="6"/>
        <v>7488</v>
      </c>
    </row>
    <row r="31" spans="1:32" s="8" customFormat="1" ht="18" customHeight="1">
      <c r="A31" s="95" t="s">
        <v>1083</v>
      </c>
      <c r="B31" s="556">
        <v>4999</v>
      </c>
      <c r="C31" s="556">
        <v>2326</v>
      </c>
      <c r="D31" s="556">
        <v>2073</v>
      </c>
      <c r="E31" s="541">
        <v>1580</v>
      </c>
      <c r="F31" s="556"/>
      <c r="G31" s="556"/>
      <c r="H31" s="556"/>
      <c r="I31" s="541"/>
      <c r="J31" s="557"/>
      <c r="K31" s="556"/>
      <c r="L31" s="556"/>
      <c r="M31" s="541"/>
      <c r="N31" s="556"/>
      <c r="O31" s="556"/>
      <c r="P31" s="556"/>
      <c r="Q31" s="541"/>
      <c r="R31" s="377"/>
      <c r="S31" s="378"/>
      <c r="T31" s="500"/>
      <c r="U31" s="556"/>
      <c r="V31" s="556"/>
      <c r="W31" s="556"/>
      <c r="X31" s="541"/>
      <c r="Y31" s="556"/>
      <c r="Z31" s="556">
        <v>823</v>
      </c>
      <c r="AA31" s="556">
        <v>47</v>
      </c>
      <c r="AB31" s="541"/>
      <c r="AC31" s="556">
        <f t="shared" si="1"/>
        <v>4999</v>
      </c>
      <c r="AD31" s="556">
        <f t="shared" si="2"/>
        <v>3149</v>
      </c>
      <c r="AE31" s="556">
        <f t="shared" si="5"/>
        <v>2120</v>
      </c>
      <c r="AF31" s="541">
        <f t="shared" si="6"/>
        <v>1580</v>
      </c>
    </row>
    <row r="32" spans="1:32" s="8" customFormat="1" ht="18" customHeight="1">
      <c r="A32" s="95" t="s">
        <v>1084</v>
      </c>
      <c r="B32" s="556">
        <v>2239</v>
      </c>
      <c r="C32" s="556">
        <v>1011</v>
      </c>
      <c r="D32" s="556">
        <v>1043</v>
      </c>
      <c r="E32" s="541">
        <v>1131</v>
      </c>
      <c r="F32" s="556"/>
      <c r="G32" s="556"/>
      <c r="H32" s="556"/>
      <c r="I32" s="541"/>
      <c r="J32" s="557"/>
      <c r="K32" s="556"/>
      <c r="L32" s="556"/>
      <c r="M32" s="541"/>
      <c r="N32" s="556"/>
      <c r="O32" s="556"/>
      <c r="P32" s="556"/>
      <c r="Q32" s="541"/>
      <c r="R32" s="377"/>
      <c r="S32" s="378"/>
      <c r="T32" s="500"/>
      <c r="U32" s="556"/>
      <c r="V32" s="556"/>
      <c r="W32" s="556"/>
      <c r="X32" s="541"/>
      <c r="Y32" s="556"/>
      <c r="Z32" s="556"/>
      <c r="AA32" s="556"/>
      <c r="AB32" s="541"/>
      <c r="AC32" s="556">
        <f t="shared" si="1"/>
        <v>2239</v>
      </c>
      <c r="AD32" s="556">
        <f t="shared" si="2"/>
        <v>1011</v>
      </c>
      <c r="AE32" s="556">
        <f t="shared" si="5"/>
        <v>1043</v>
      </c>
      <c r="AF32" s="541">
        <f t="shared" si="6"/>
        <v>1131</v>
      </c>
    </row>
    <row r="33" spans="1:32" s="8" customFormat="1" ht="18" customHeight="1">
      <c r="A33" s="95" t="s">
        <v>1085</v>
      </c>
      <c r="B33" s="556"/>
      <c r="C33" s="556"/>
      <c r="D33" s="556"/>
      <c r="E33" s="541"/>
      <c r="F33" s="556">
        <v>5971</v>
      </c>
      <c r="G33" s="556">
        <v>5817</v>
      </c>
      <c r="H33" s="556">
        <v>5463</v>
      </c>
      <c r="I33" s="541">
        <v>5143</v>
      </c>
      <c r="J33" s="557"/>
      <c r="K33" s="556"/>
      <c r="L33" s="556"/>
      <c r="M33" s="541"/>
      <c r="N33" s="556"/>
      <c r="O33" s="556"/>
      <c r="P33" s="556"/>
      <c r="Q33" s="556"/>
      <c r="R33" s="377"/>
      <c r="S33" s="378"/>
      <c r="T33" s="500"/>
      <c r="U33" s="557"/>
      <c r="V33" s="556"/>
      <c r="W33" s="556"/>
      <c r="X33" s="541"/>
      <c r="Y33" s="556"/>
      <c r="Z33" s="556"/>
      <c r="AA33" s="556"/>
      <c r="AB33" s="541"/>
      <c r="AC33" s="556">
        <f t="shared" si="1"/>
        <v>5971</v>
      </c>
      <c r="AD33" s="556">
        <f t="shared" si="2"/>
        <v>5817</v>
      </c>
      <c r="AE33" s="556">
        <f t="shared" si="5"/>
        <v>5463</v>
      </c>
      <c r="AF33" s="541">
        <f t="shared" si="6"/>
        <v>5143</v>
      </c>
    </row>
    <row r="34" spans="1:32" s="8" customFormat="1" ht="18" customHeight="1">
      <c r="A34" s="95" t="s">
        <v>1086</v>
      </c>
      <c r="B34" s="556">
        <v>140</v>
      </c>
      <c r="C34" s="556">
        <v>116</v>
      </c>
      <c r="D34" s="556">
        <v>68</v>
      </c>
      <c r="E34" s="541">
        <v>54</v>
      </c>
      <c r="F34" s="556">
        <v>2346</v>
      </c>
      <c r="G34" s="556">
        <v>1917</v>
      </c>
      <c r="H34" s="556">
        <v>1687</v>
      </c>
      <c r="I34" s="541">
        <v>1486</v>
      </c>
      <c r="J34" s="557"/>
      <c r="K34" s="556"/>
      <c r="L34" s="556"/>
      <c r="M34" s="541"/>
      <c r="N34" s="556"/>
      <c r="O34" s="556"/>
      <c r="P34" s="556"/>
      <c r="Q34" s="556"/>
      <c r="R34" s="377"/>
      <c r="S34" s="378"/>
      <c r="T34" s="500"/>
      <c r="U34" s="557"/>
      <c r="V34" s="556"/>
      <c r="W34" s="556"/>
      <c r="X34" s="541"/>
      <c r="Y34" s="556"/>
      <c r="Z34" s="556"/>
      <c r="AA34" s="556"/>
      <c r="AB34" s="541"/>
      <c r="AC34" s="556">
        <f t="shared" si="1"/>
        <v>2486</v>
      </c>
      <c r="AD34" s="556">
        <f t="shared" si="2"/>
        <v>2033</v>
      </c>
      <c r="AE34" s="556">
        <f t="shared" si="5"/>
        <v>1755</v>
      </c>
      <c r="AF34" s="541">
        <f t="shared" si="6"/>
        <v>1540</v>
      </c>
    </row>
    <row r="35" spans="1:32" s="8" customFormat="1" ht="18" customHeight="1">
      <c r="A35" s="95" t="s">
        <v>1087</v>
      </c>
      <c r="B35" s="556">
        <v>449</v>
      </c>
      <c r="C35" s="556">
        <v>656</v>
      </c>
      <c r="D35" s="556">
        <v>537</v>
      </c>
      <c r="E35" s="541">
        <v>249</v>
      </c>
      <c r="F35" s="556"/>
      <c r="G35" s="556"/>
      <c r="H35" s="556"/>
      <c r="I35" s="541"/>
      <c r="J35" s="557"/>
      <c r="K35" s="556"/>
      <c r="L35" s="556"/>
      <c r="M35" s="541"/>
      <c r="N35" s="556"/>
      <c r="O35" s="556"/>
      <c r="P35" s="556"/>
      <c r="Q35" s="556"/>
      <c r="R35" s="377"/>
      <c r="S35" s="378"/>
      <c r="T35" s="500"/>
      <c r="U35" s="557"/>
      <c r="V35" s="556"/>
      <c r="W35" s="556"/>
      <c r="X35" s="541"/>
      <c r="Y35" s="556"/>
      <c r="Z35" s="556"/>
      <c r="AA35" s="556"/>
      <c r="AB35" s="541"/>
      <c r="AC35" s="556">
        <f t="shared" si="1"/>
        <v>449</v>
      </c>
      <c r="AD35" s="556">
        <f t="shared" si="2"/>
        <v>656</v>
      </c>
      <c r="AE35" s="556">
        <f t="shared" si="5"/>
        <v>537</v>
      </c>
      <c r="AF35" s="541">
        <f t="shared" si="6"/>
        <v>249</v>
      </c>
    </row>
    <row r="36" spans="1:32" s="8" customFormat="1" ht="18" customHeight="1">
      <c r="A36" s="15" t="s">
        <v>923</v>
      </c>
      <c r="B36" s="559">
        <v>33963</v>
      </c>
      <c r="C36" s="559">
        <v>30361</v>
      </c>
      <c r="D36" s="559">
        <v>28411</v>
      </c>
      <c r="E36" s="560">
        <f t="shared" ref="E36:AF36" si="7">SUM(E9:E35)</f>
        <v>29053</v>
      </c>
      <c r="F36" s="559">
        <v>33959</v>
      </c>
      <c r="G36" s="559">
        <v>30607</v>
      </c>
      <c r="H36" s="559">
        <v>29711</v>
      </c>
      <c r="I36" s="560">
        <f t="shared" si="7"/>
        <v>27839</v>
      </c>
      <c r="J36" s="561">
        <f t="shared" si="7"/>
        <v>1001</v>
      </c>
      <c r="K36" s="559">
        <f t="shared" si="7"/>
        <v>1449</v>
      </c>
      <c r="L36" s="559">
        <f t="shared" si="7"/>
        <v>841</v>
      </c>
      <c r="M36" s="560">
        <f t="shared" si="7"/>
        <v>735</v>
      </c>
      <c r="N36" s="559">
        <v>3775</v>
      </c>
      <c r="O36" s="559">
        <v>3361</v>
      </c>
      <c r="P36" s="559">
        <v>2870</v>
      </c>
      <c r="Q36" s="559">
        <f t="shared" si="7"/>
        <v>2635</v>
      </c>
      <c r="R36" s="381">
        <f>SUM(R23:R35)</f>
        <v>410</v>
      </c>
      <c r="S36" s="382">
        <f>SUM(S23:S35)</f>
        <v>495</v>
      </c>
      <c r="T36" s="560">
        <f t="shared" si="7"/>
        <v>468</v>
      </c>
      <c r="U36" s="561">
        <f t="shared" si="7"/>
        <v>0</v>
      </c>
      <c r="V36" s="559">
        <f t="shared" si="7"/>
        <v>0</v>
      </c>
      <c r="W36" s="559">
        <f t="shared" si="7"/>
        <v>0</v>
      </c>
      <c r="X36" s="560">
        <f t="shared" si="7"/>
        <v>0</v>
      </c>
      <c r="Y36" s="559">
        <f t="shared" si="7"/>
        <v>0</v>
      </c>
      <c r="Z36" s="559">
        <f t="shared" si="7"/>
        <v>823</v>
      </c>
      <c r="AA36" s="559">
        <f t="shared" si="7"/>
        <v>47</v>
      </c>
      <c r="AB36" s="560">
        <f t="shared" si="7"/>
        <v>0</v>
      </c>
      <c r="AC36" s="559">
        <f t="shared" si="7"/>
        <v>72698</v>
      </c>
      <c r="AD36" s="559">
        <f t="shared" si="7"/>
        <v>67011</v>
      </c>
      <c r="AE36" s="559">
        <f t="shared" si="7"/>
        <v>62375</v>
      </c>
      <c r="AF36" s="560">
        <f t="shared" si="7"/>
        <v>60730</v>
      </c>
    </row>
    <row r="37" spans="1:32" s="8" customFormat="1" ht="18" customHeight="1">
      <c r="R37" s="562"/>
      <c r="S37" s="562"/>
      <c r="T37" s="562"/>
    </row>
    <row r="38" spans="1:32" s="8" customFormat="1" ht="18" customHeight="1">
      <c r="A38" s="519" t="s">
        <v>1088</v>
      </c>
      <c r="F38" s="570"/>
      <c r="R38" s="562"/>
      <c r="S38" s="562"/>
      <c r="T38" s="562"/>
    </row>
    <row r="39" spans="1:32" s="8" customFormat="1" ht="18" customHeight="1">
      <c r="A39" s="1074" t="s">
        <v>1089</v>
      </c>
      <c r="B39" s="564">
        <v>301</v>
      </c>
      <c r="C39" s="564">
        <v>248</v>
      </c>
      <c r="D39" s="564">
        <v>540</v>
      </c>
      <c r="E39" s="565">
        <v>415</v>
      </c>
      <c r="F39" s="564">
        <v>1443</v>
      </c>
      <c r="G39" s="564">
        <v>2547</v>
      </c>
      <c r="H39" s="564">
        <v>3173</v>
      </c>
      <c r="I39" s="564">
        <v>2603</v>
      </c>
      <c r="J39" s="563"/>
      <c r="K39" s="564"/>
      <c r="L39" s="564"/>
      <c r="M39" s="565"/>
      <c r="N39" s="564">
        <v>1236</v>
      </c>
      <c r="O39" s="564"/>
      <c r="P39" s="564"/>
      <c r="Q39" s="564"/>
      <c r="R39" s="563"/>
      <c r="S39" s="564"/>
      <c r="T39" s="565"/>
      <c r="U39" s="563"/>
      <c r="V39" s="564"/>
      <c r="W39" s="564"/>
      <c r="X39" s="565"/>
      <c r="Y39" s="564"/>
      <c r="Z39" s="564"/>
      <c r="AA39" s="564"/>
      <c r="AB39" s="565"/>
      <c r="AC39" s="564">
        <f t="shared" ref="AC39:AF40" si="8">+N39+J39+F39+B39</f>
        <v>2980</v>
      </c>
      <c r="AD39" s="564">
        <f t="shared" si="8"/>
        <v>2795</v>
      </c>
      <c r="AE39" s="564">
        <f t="shared" si="8"/>
        <v>3713</v>
      </c>
      <c r="AF39" s="565">
        <f t="shared" si="8"/>
        <v>3018</v>
      </c>
    </row>
    <row r="40" spans="1:32" s="8" customFormat="1" ht="18" customHeight="1">
      <c r="A40" s="1075" t="s">
        <v>1090</v>
      </c>
      <c r="B40" s="556">
        <v>2463</v>
      </c>
      <c r="C40" s="556">
        <v>2076</v>
      </c>
      <c r="D40" s="556">
        <v>1623</v>
      </c>
      <c r="E40" s="541">
        <v>297</v>
      </c>
      <c r="F40" s="556">
        <v>538</v>
      </c>
      <c r="G40" s="556">
        <v>466</v>
      </c>
      <c r="H40" s="556">
        <v>625</v>
      </c>
      <c r="I40" s="556">
        <v>351</v>
      </c>
      <c r="J40" s="557"/>
      <c r="K40" s="556"/>
      <c r="L40" s="556"/>
      <c r="M40" s="541"/>
      <c r="N40" s="556"/>
      <c r="O40" s="556"/>
      <c r="P40" s="556"/>
      <c r="Q40" s="556"/>
      <c r="R40" s="557"/>
      <c r="S40" s="556"/>
      <c r="T40" s="541"/>
      <c r="U40" s="557"/>
      <c r="V40" s="556"/>
      <c r="W40" s="556"/>
      <c r="X40" s="541"/>
      <c r="Y40" s="556"/>
      <c r="Z40" s="556"/>
      <c r="AA40" s="556"/>
      <c r="AB40" s="541"/>
      <c r="AC40" s="556">
        <f t="shared" si="8"/>
        <v>3001</v>
      </c>
      <c r="AD40" s="556">
        <f t="shared" si="8"/>
        <v>2542</v>
      </c>
      <c r="AE40" s="556">
        <f t="shared" si="8"/>
        <v>2248</v>
      </c>
      <c r="AF40" s="541">
        <f t="shared" si="8"/>
        <v>648</v>
      </c>
    </row>
    <row r="41" spans="1:32" s="8" customFormat="1" ht="18" customHeight="1">
      <c r="A41" s="1075" t="s">
        <v>1091</v>
      </c>
      <c r="B41" s="556">
        <v>1044</v>
      </c>
      <c r="C41" s="556">
        <v>1124</v>
      </c>
      <c r="D41" s="556">
        <v>1129</v>
      </c>
      <c r="E41" s="541">
        <v>1177</v>
      </c>
      <c r="F41" s="556">
        <v>1559</v>
      </c>
      <c r="G41" s="556">
        <v>1510</v>
      </c>
      <c r="H41" s="556">
        <v>1596</v>
      </c>
      <c r="I41" s="556">
        <v>1280</v>
      </c>
      <c r="J41" s="557"/>
      <c r="K41" s="556"/>
      <c r="L41" s="556"/>
      <c r="M41" s="541"/>
      <c r="N41" s="556"/>
      <c r="O41" s="556"/>
      <c r="P41" s="556"/>
      <c r="Q41" s="556"/>
      <c r="R41" s="557"/>
      <c r="S41" s="556"/>
      <c r="T41" s="541"/>
      <c r="U41" s="557"/>
      <c r="V41" s="556"/>
      <c r="W41" s="556"/>
      <c r="X41" s="541"/>
      <c r="Y41" s="556"/>
      <c r="Z41" s="556"/>
      <c r="AA41" s="556"/>
      <c r="AB41" s="541"/>
      <c r="AC41" s="556">
        <f t="shared" ref="AC41:AF45" si="9">+N41+J41+F41+B41</f>
        <v>2603</v>
      </c>
      <c r="AD41" s="556">
        <f t="shared" si="9"/>
        <v>2634</v>
      </c>
      <c r="AE41" s="556">
        <f t="shared" si="9"/>
        <v>2725</v>
      </c>
      <c r="AF41" s="541">
        <f t="shared" si="9"/>
        <v>2457</v>
      </c>
    </row>
    <row r="42" spans="1:32" s="8" customFormat="1" ht="18" customHeight="1">
      <c r="A42" s="1075" t="s">
        <v>1092</v>
      </c>
      <c r="B42" s="556">
        <v>547</v>
      </c>
      <c r="C42" s="556">
        <v>756</v>
      </c>
      <c r="D42" s="556">
        <v>612</v>
      </c>
      <c r="E42" s="541">
        <v>436</v>
      </c>
      <c r="F42" s="556">
        <v>905</v>
      </c>
      <c r="G42" s="556">
        <v>788</v>
      </c>
      <c r="H42" s="556">
        <v>931</v>
      </c>
      <c r="I42" s="556">
        <v>867</v>
      </c>
      <c r="J42" s="557"/>
      <c r="K42" s="556"/>
      <c r="L42" s="556"/>
      <c r="M42" s="541"/>
      <c r="N42" s="556"/>
      <c r="O42" s="556"/>
      <c r="P42" s="556"/>
      <c r="Q42" s="556"/>
      <c r="R42" s="557"/>
      <c r="S42" s="556"/>
      <c r="T42" s="541"/>
      <c r="U42" s="557"/>
      <c r="V42" s="556"/>
      <c r="W42" s="556"/>
      <c r="X42" s="541"/>
      <c r="Y42" s="556"/>
      <c r="Z42" s="556"/>
      <c r="AA42" s="556"/>
      <c r="AB42" s="541"/>
      <c r="AC42" s="556">
        <f t="shared" si="9"/>
        <v>1452</v>
      </c>
      <c r="AD42" s="556">
        <f t="shared" si="9"/>
        <v>1544</v>
      </c>
      <c r="AE42" s="556">
        <f t="shared" si="9"/>
        <v>1543</v>
      </c>
      <c r="AF42" s="541">
        <f t="shared" si="9"/>
        <v>1303</v>
      </c>
    </row>
    <row r="43" spans="1:32" s="8" customFormat="1" ht="18" customHeight="1">
      <c r="A43" s="1075" t="s">
        <v>1093</v>
      </c>
      <c r="B43" s="556">
        <v>239</v>
      </c>
      <c r="C43" s="556">
        <v>337</v>
      </c>
      <c r="D43" s="556">
        <v>475</v>
      </c>
      <c r="E43" s="541">
        <v>558</v>
      </c>
      <c r="F43" s="556"/>
      <c r="G43" s="556"/>
      <c r="H43" s="556"/>
      <c r="I43" s="556"/>
      <c r="J43" s="557"/>
      <c r="K43" s="556"/>
      <c r="L43" s="556"/>
      <c r="M43" s="541"/>
      <c r="N43" s="556"/>
      <c r="O43" s="556"/>
      <c r="P43" s="556"/>
      <c r="Q43" s="556"/>
      <c r="R43" s="557"/>
      <c r="S43" s="556"/>
      <c r="T43" s="541"/>
      <c r="U43" s="557"/>
      <c r="V43" s="556"/>
      <c r="W43" s="556"/>
      <c r="X43" s="541"/>
      <c r="Y43" s="556"/>
      <c r="Z43" s="556"/>
      <c r="AA43" s="556"/>
      <c r="AB43" s="541"/>
      <c r="AC43" s="556">
        <f t="shared" si="9"/>
        <v>239</v>
      </c>
      <c r="AD43" s="556">
        <f t="shared" si="9"/>
        <v>337</v>
      </c>
      <c r="AE43" s="556">
        <f t="shared" si="9"/>
        <v>475</v>
      </c>
      <c r="AF43" s="541">
        <f t="shared" si="9"/>
        <v>558</v>
      </c>
    </row>
    <row r="44" spans="1:32" s="8" customFormat="1" ht="18" customHeight="1">
      <c r="A44" s="540" t="s">
        <v>1094</v>
      </c>
      <c r="B44" s="556">
        <v>7984</v>
      </c>
      <c r="C44" s="556">
        <v>6267</v>
      </c>
      <c r="D44" s="556">
        <v>6938</v>
      </c>
      <c r="E44" s="541">
        <v>6573</v>
      </c>
      <c r="F44" s="556">
        <v>10486</v>
      </c>
      <c r="G44" s="556">
        <v>10252</v>
      </c>
      <c r="H44" s="556">
        <v>8651</v>
      </c>
      <c r="I44" s="556">
        <v>8341</v>
      </c>
      <c r="J44" s="557"/>
      <c r="K44" s="556"/>
      <c r="L44" s="556"/>
      <c r="M44" s="541"/>
      <c r="N44" s="556"/>
      <c r="O44" s="556"/>
      <c r="P44" s="556"/>
      <c r="Q44" s="556"/>
      <c r="R44" s="557"/>
      <c r="S44" s="556"/>
      <c r="T44" s="541"/>
      <c r="U44" s="557"/>
      <c r="V44" s="556"/>
      <c r="W44" s="556"/>
      <c r="X44" s="541"/>
      <c r="Y44" s="556"/>
      <c r="Z44" s="556"/>
      <c r="AA44" s="556"/>
      <c r="AB44" s="541"/>
      <c r="AC44" s="556">
        <f t="shared" si="9"/>
        <v>18470</v>
      </c>
      <c r="AD44" s="556">
        <f t="shared" si="9"/>
        <v>16519</v>
      </c>
      <c r="AE44" s="556">
        <f t="shared" si="9"/>
        <v>15589</v>
      </c>
      <c r="AF44" s="541">
        <f t="shared" si="9"/>
        <v>14914</v>
      </c>
    </row>
    <row r="45" spans="1:32" ht="18" customHeight="1">
      <c r="A45" s="540" t="s">
        <v>1095</v>
      </c>
      <c r="B45" s="378">
        <v>951</v>
      </c>
      <c r="C45" s="378">
        <v>1425</v>
      </c>
      <c r="D45" s="378">
        <v>694</v>
      </c>
      <c r="E45" s="500">
        <v>30</v>
      </c>
      <c r="F45" s="378"/>
      <c r="G45" s="378"/>
      <c r="H45" s="378"/>
      <c r="I45" s="378"/>
      <c r="J45" s="377"/>
      <c r="K45" s="378"/>
      <c r="L45" s="378"/>
      <c r="M45" s="500"/>
      <c r="N45" s="378">
        <v>1753</v>
      </c>
      <c r="O45" s="378"/>
      <c r="P45" s="378"/>
      <c r="Q45" s="378"/>
      <c r="R45" s="377"/>
      <c r="S45" s="378"/>
      <c r="T45" s="500"/>
      <c r="U45" s="377"/>
      <c r="V45" s="378"/>
      <c r="W45" s="378"/>
      <c r="X45" s="500"/>
      <c r="Y45" s="378"/>
      <c r="Z45" s="378"/>
      <c r="AA45" s="378"/>
      <c r="AB45" s="541"/>
      <c r="AC45" s="556">
        <f t="shared" si="9"/>
        <v>2704</v>
      </c>
      <c r="AD45" s="556">
        <f t="shared" si="9"/>
        <v>1425</v>
      </c>
      <c r="AE45" s="556">
        <f t="shared" si="9"/>
        <v>694</v>
      </c>
      <c r="AF45" s="500">
        <f t="shared" si="9"/>
        <v>30</v>
      </c>
    </row>
    <row r="46" spans="1:32" s="8" customFormat="1" ht="18" customHeight="1">
      <c r="A46" s="540" t="s">
        <v>1096</v>
      </c>
      <c r="B46" s="556">
        <v>2796</v>
      </c>
      <c r="C46" s="556">
        <v>2860</v>
      </c>
      <c r="D46" s="556">
        <v>3688</v>
      </c>
      <c r="E46" s="541">
        <v>2162</v>
      </c>
      <c r="F46" s="556"/>
      <c r="G46" s="556"/>
      <c r="H46" s="556"/>
      <c r="I46" s="556"/>
      <c r="J46" s="557"/>
      <c r="K46" s="556"/>
      <c r="L46" s="556"/>
      <c r="M46" s="541"/>
      <c r="N46" s="556"/>
      <c r="O46" s="556"/>
      <c r="P46" s="556"/>
      <c r="Q46" s="556"/>
      <c r="R46" s="557"/>
      <c r="S46" s="556"/>
      <c r="T46" s="541"/>
      <c r="U46" s="557"/>
      <c r="V46" s="556"/>
      <c r="W46" s="556"/>
      <c r="X46" s="541"/>
      <c r="Y46" s="556"/>
      <c r="Z46" s="556"/>
      <c r="AA46" s="556"/>
      <c r="AB46" s="541"/>
      <c r="AC46" s="556">
        <f t="shared" ref="AC46:AF47" si="10">+N46+J46+F46+B46</f>
        <v>2796</v>
      </c>
      <c r="AD46" s="556">
        <f t="shared" si="10"/>
        <v>2860</v>
      </c>
      <c r="AE46" s="556">
        <f t="shared" si="10"/>
        <v>3688</v>
      </c>
      <c r="AF46" s="541">
        <f t="shared" si="10"/>
        <v>2162</v>
      </c>
    </row>
    <row r="47" spans="1:32" s="8" customFormat="1" ht="18" customHeight="1">
      <c r="A47" s="1076" t="s">
        <v>1097</v>
      </c>
      <c r="B47" s="559">
        <v>4425</v>
      </c>
      <c r="C47" s="559">
        <v>3600</v>
      </c>
      <c r="D47" s="559">
        <v>3486</v>
      </c>
      <c r="E47" s="560">
        <v>3734</v>
      </c>
      <c r="F47" s="559">
        <v>1072</v>
      </c>
      <c r="G47" s="559">
        <v>1053</v>
      </c>
      <c r="H47" s="559">
        <v>1227</v>
      </c>
      <c r="I47" s="559">
        <v>1102</v>
      </c>
      <c r="J47" s="561"/>
      <c r="K47" s="559"/>
      <c r="L47" s="559"/>
      <c r="M47" s="560"/>
      <c r="N47" s="559">
        <v>1507</v>
      </c>
      <c r="O47" s="559">
        <v>58</v>
      </c>
      <c r="P47" s="559">
        <v>29</v>
      </c>
      <c r="Q47" s="559">
        <v>21</v>
      </c>
      <c r="R47" s="561">
        <v>289</v>
      </c>
      <c r="S47" s="559">
        <v>206</v>
      </c>
      <c r="T47" s="560"/>
      <c r="U47" s="561"/>
      <c r="V47" s="559"/>
      <c r="W47" s="559"/>
      <c r="X47" s="560"/>
      <c r="Y47" s="559"/>
      <c r="Z47" s="559"/>
      <c r="AA47" s="559"/>
      <c r="AB47" s="560"/>
      <c r="AC47" s="559">
        <f t="shared" si="10"/>
        <v>7004</v>
      </c>
      <c r="AD47" s="559">
        <f>+O47+K47+G47+C47+R47</f>
        <v>5000</v>
      </c>
      <c r="AE47" s="559">
        <f>+P47+L47+H47+D47+S47</f>
        <v>4948</v>
      </c>
      <c r="AF47" s="560">
        <f>+Q47+M47+I47+E47+T47</f>
        <v>4857</v>
      </c>
    </row>
  </sheetData>
  <mergeCells count="11">
    <mergeCell ref="R7:T7"/>
    <mergeCell ref="Y7:AB7"/>
    <mergeCell ref="A1:AF1"/>
    <mergeCell ref="A2:AF2"/>
    <mergeCell ref="A3:AF3"/>
    <mergeCell ref="B7:E7"/>
    <mergeCell ref="F7:I7"/>
    <mergeCell ref="J7:M7"/>
    <mergeCell ref="N7:Q7"/>
    <mergeCell ref="AC7:AF7"/>
    <mergeCell ref="U7:X7"/>
  </mergeCells>
  <phoneticPr fontId="19" type="noConversion"/>
  <pageMargins left="0.39370078740157483" right="0.59055118110236227" top="0.39370078740157483" bottom="0.39370078740157483" header="0" footer="0"/>
  <pageSetup paperSize="5" scale="73" orientation="landscape" horizontalDpi="300" verticalDpi="300" r:id="rId1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74"/>
  <sheetViews>
    <sheetView topLeftCell="M29" zoomScale="75" workbookViewId="0">
      <selection activeCell="AD36" sqref="AD36"/>
    </sheetView>
  </sheetViews>
  <sheetFormatPr baseColWidth="10" defaultColWidth="27" defaultRowHeight="12"/>
  <cols>
    <col min="1" max="1" width="27" style="209" customWidth="1"/>
    <col min="2" max="61" width="7.140625" style="209" customWidth="1"/>
    <col min="62" max="16384" width="27" style="209"/>
  </cols>
  <sheetData>
    <row r="1" spans="1:32">
      <c r="A1" s="1225" t="s">
        <v>1057</v>
      </c>
      <c r="B1" s="1225"/>
      <c r="C1" s="1225"/>
      <c r="D1" s="1225"/>
      <c r="E1" s="1225"/>
      <c r="F1" s="1225"/>
      <c r="G1" s="1225"/>
      <c r="H1" s="1225"/>
      <c r="I1" s="1225"/>
      <c r="J1" s="1225"/>
      <c r="K1" s="1225"/>
      <c r="L1" s="1225"/>
      <c r="M1" s="1225"/>
      <c r="N1" s="1225"/>
      <c r="O1" s="1225"/>
      <c r="P1" s="1225"/>
      <c r="Q1" s="1225"/>
      <c r="R1" s="1225"/>
      <c r="S1" s="1225"/>
      <c r="T1" s="1225"/>
      <c r="U1" s="1225"/>
      <c r="V1" s="1225"/>
      <c r="W1" s="1225"/>
      <c r="X1" s="1225"/>
      <c r="Y1" s="1225"/>
      <c r="Z1" s="1225"/>
      <c r="AA1" s="1225"/>
      <c r="AB1" s="1225"/>
      <c r="AC1" s="1225"/>
      <c r="AD1" s="1225"/>
      <c r="AE1" s="1225"/>
      <c r="AF1" s="1225"/>
    </row>
    <row r="2" spans="1:32">
      <c r="A2" s="1225" t="s">
        <v>1102</v>
      </c>
      <c r="B2" s="1225"/>
      <c r="C2" s="1225"/>
      <c r="D2" s="1225"/>
      <c r="E2" s="1225"/>
      <c r="F2" s="1225"/>
      <c r="G2" s="1225"/>
      <c r="H2" s="1225"/>
      <c r="I2" s="1225"/>
      <c r="J2" s="1225"/>
      <c r="K2" s="1225"/>
      <c r="L2" s="1225"/>
      <c r="M2" s="1225"/>
      <c r="N2" s="1225"/>
      <c r="O2" s="1225"/>
      <c r="P2" s="1225"/>
      <c r="Q2" s="1225"/>
      <c r="R2" s="1225"/>
      <c r="S2" s="1225"/>
      <c r="T2" s="1225"/>
      <c r="U2" s="1225"/>
      <c r="V2" s="1225"/>
      <c r="W2" s="1225"/>
      <c r="X2" s="1225"/>
      <c r="Y2" s="1225"/>
      <c r="Z2" s="1225"/>
      <c r="AA2" s="1225"/>
      <c r="AB2" s="1225"/>
      <c r="AC2" s="1225"/>
      <c r="AD2" s="1225"/>
      <c r="AE2" s="1225"/>
      <c r="AF2" s="1225"/>
    </row>
    <row r="3" spans="1:32">
      <c r="A3" s="1225" t="s">
        <v>970</v>
      </c>
      <c r="B3" s="1225"/>
      <c r="C3" s="1225"/>
      <c r="D3" s="1225"/>
      <c r="E3" s="1225"/>
      <c r="F3" s="1225"/>
      <c r="G3" s="1225"/>
      <c r="H3" s="1225"/>
      <c r="I3" s="1225"/>
      <c r="J3" s="1225"/>
      <c r="K3" s="1225"/>
      <c r="L3" s="1225"/>
      <c r="M3" s="1225"/>
      <c r="N3" s="1225"/>
      <c r="O3" s="1225"/>
      <c r="P3" s="1225"/>
      <c r="Q3" s="1225"/>
      <c r="R3" s="1225"/>
      <c r="S3" s="1225"/>
      <c r="T3" s="1225"/>
      <c r="U3" s="1225"/>
      <c r="V3" s="1225"/>
      <c r="W3" s="1225"/>
      <c r="X3" s="1225"/>
      <c r="Y3" s="1225"/>
      <c r="Z3" s="1225"/>
      <c r="AA3" s="1225"/>
      <c r="AB3" s="1225"/>
      <c r="AC3" s="1225"/>
      <c r="AD3" s="1225"/>
      <c r="AE3" s="1225"/>
      <c r="AF3" s="1225"/>
    </row>
    <row r="6" spans="1:32">
      <c r="A6" s="407" t="s">
        <v>1059</v>
      </c>
    </row>
    <row r="7" spans="1:32" ht="18" customHeight="1">
      <c r="A7" s="346" t="s">
        <v>1060</v>
      </c>
      <c r="B7" s="1249" t="s">
        <v>1061</v>
      </c>
      <c r="C7" s="1250"/>
      <c r="D7" s="1250"/>
      <c r="E7" s="1251"/>
      <c r="F7" s="1250" t="s">
        <v>1039</v>
      </c>
      <c r="G7" s="1250"/>
      <c r="H7" s="1250"/>
      <c r="I7" s="1251"/>
      <c r="J7" s="1249" t="s">
        <v>1062</v>
      </c>
      <c r="K7" s="1250"/>
      <c r="L7" s="1250"/>
      <c r="M7" s="1251"/>
      <c r="N7" s="1250" t="s">
        <v>1026</v>
      </c>
      <c r="O7" s="1250"/>
      <c r="P7" s="1250"/>
      <c r="Q7" s="1251"/>
      <c r="R7" s="1249" t="s">
        <v>1363</v>
      </c>
      <c r="S7" s="1250"/>
      <c r="T7" s="1251"/>
      <c r="U7" s="1220" t="s">
        <v>1101</v>
      </c>
      <c r="V7" s="1221"/>
      <c r="W7" s="1221"/>
      <c r="X7" s="1222"/>
      <c r="Y7" s="1220" t="str">
        <f>+'60'!Y7:AB7</f>
        <v>CONS. LOS ANDES N°1 MUNICIPAL</v>
      </c>
      <c r="Z7" s="1221"/>
      <c r="AA7" s="1221"/>
      <c r="AB7" s="1222"/>
      <c r="AC7" s="1250" t="s">
        <v>706</v>
      </c>
      <c r="AD7" s="1250"/>
      <c r="AE7" s="1250"/>
      <c r="AF7" s="1251"/>
    </row>
    <row r="8" spans="1:32" ht="18" customHeight="1">
      <c r="A8" s="15"/>
      <c r="B8" s="545">
        <f>+'60'!B8</f>
        <v>2011</v>
      </c>
      <c r="C8" s="305">
        <f>+'60'!C8</f>
        <v>2012</v>
      </c>
      <c r="D8" s="305">
        <f>+'60'!D8</f>
        <v>2013</v>
      </c>
      <c r="E8" s="546">
        <f>+'60'!E8</f>
        <v>2014</v>
      </c>
      <c r="F8" s="547">
        <f>+'60'!F8</f>
        <v>2011</v>
      </c>
      <c r="G8" s="547">
        <f>+'60'!G8</f>
        <v>2012</v>
      </c>
      <c r="H8" s="547">
        <f>+'60'!H8</f>
        <v>2013</v>
      </c>
      <c r="I8" s="548">
        <f>+'60'!I8</f>
        <v>2014</v>
      </c>
      <c r="J8" s="571">
        <f>+'60'!J8</f>
        <v>2011</v>
      </c>
      <c r="K8" s="549">
        <f>+'60'!K8</f>
        <v>2012</v>
      </c>
      <c r="L8" s="549">
        <f>+'60'!L8</f>
        <v>2013</v>
      </c>
      <c r="M8" s="572">
        <f>+'60'!M8</f>
        <v>2014</v>
      </c>
      <c r="N8" s="539">
        <f>+'60'!N8</f>
        <v>2011</v>
      </c>
      <c r="O8" s="539">
        <f>+'60'!O8</f>
        <v>2012</v>
      </c>
      <c r="P8" s="539">
        <f>+'60'!P8</f>
        <v>2013</v>
      </c>
      <c r="Q8" s="539">
        <f>+'60'!Q8</f>
        <v>2014</v>
      </c>
      <c r="R8" s="385">
        <f>+O8</f>
        <v>2012</v>
      </c>
      <c r="S8" s="1168">
        <f>+P8</f>
        <v>2013</v>
      </c>
      <c r="T8" s="387">
        <f>+Q8</f>
        <v>2014</v>
      </c>
      <c r="U8" s="489">
        <f>+'60'!U8</f>
        <v>2011</v>
      </c>
      <c r="V8" s="539">
        <f>+'60'!V8</f>
        <v>2012</v>
      </c>
      <c r="W8" s="539">
        <f>+'60'!W8</f>
        <v>2013</v>
      </c>
      <c r="X8" s="544">
        <f>+'60'!X8</f>
        <v>2014</v>
      </c>
      <c r="Y8" s="489">
        <f>+'60'!Y8</f>
        <v>2011</v>
      </c>
      <c r="Z8" s="539">
        <f>+'60'!Z8</f>
        <v>2012</v>
      </c>
      <c r="AA8" s="539">
        <f>+'60'!AA8</f>
        <v>2013</v>
      </c>
      <c r="AB8" s="544">
        <f>+'60'!AB8</f>
        <v>2014</v>
      </c>
      <c r="AC8" s="549">
        <f>+'60'!AC8</f>
        <v>2011</v>
      </c>
      <c r="AD8" s="549">
        <f>+'60'!AD8</f>
        <v>2012</v>
      </c>
      <c r="AE8" s="549">
        <f>+'60'!AE8</f>
        <v>2013</v>
      </c>
      <c r="AF8" s="572">
        <f>+'60'!AF8</f>
        <v>2014</v>
      </c>
    </row>
    <row r="9" spans="1:32" ht="18" customHeight="1">
      <c r="A9" s="346" t="s">
        <v>1063</v>
      </c>
      <c r="B9" s="564"/>
      <c r="C9" s="564"/>
      <c r="D9" s="564"/>
      <c r="E9" s="565"/>
      <c r="F9" s="563"/>
      <c r="G9" s="564"/>
      <c r="H9" s="564"/>
      <c r="I9" s="565"/>
      <c r="J9" s="564"/>
      <c r="K9" s="564"/>
      <c r="L9" s="564"/>
      <c r="M9" s="565"/>
      <c r="N9" s="563"/>
      <c r="O9" s="564"/>
      <c r="P9" s="564"/>
      <c r="Q9" s="565"/>
      <c r="R9" s="377"/>
      <c r="S9" s="378"/>
      <c r="T9" s="500"/>
      <c r="U9" s="557"/>
      <c r="V9" s="556"/>
      <c r="W9" s="556"/>
      <c r="X9" s="541"/>
      <c r="Y9" s="556"/>
      <c r="Z9" s="556"/>
      <c r="AA9" s="556"/>
      <c r="AB9" s="541"/>
      <c r="AC9" s="556">
        <f t="shared" ref="AC9:AF10" si="0">+N9+J9+F9+B9+U9+Y9</f>
        <v>0</v>
      </c>
      <c r="AD9" s="556">
        <f t="shared" si="0"/>
        <v>0</v>
      </c>
      <c r="AE9" s="556">
        <f t="shared" si="0"/>
        <v>0</v>
      </c>
      <c r="AF9" s="541">
        <f t="shared" si="0"/>
        <v>0</v>
      </c>
    </row>
    <row r="10" spans="1:32" ht="18" customHeight="1">
      <c r="A10" s="95" t="s">
        <v>1064</v>
      </c>
      <c r="B10" s="556">
        <v>4949</v>
      </c>
      <c r="C10" s="556">
        <v>5703</v>
      </c>
      <c r="D10" s="556">
        <v>6529</v>
      </c>
      <c r="E10" s="541">
        <v>7759</v>
      </c>
      <c r="F10" s="556">
        <v>5329</v>
      </c>
      <c r="G10" s="556">
        <v>5080</v>
      </c>
      <c r="H10" s="556">
        <v>4617</v>
      </c>
      <c r="I10" s="541">
        <v>4287</v>
      </c>
      <c r="J10" s="556"/>
      <c r="K10" s="556"/>
      <c r="L10" s="556"/>
      <c r="M10" s="541"/>
      <c r="N10" s="557"/>
      <c r="O10" s="556"/>
      <c r="P10" s="556"/>
      <c r="Q10" s="541"/>
      <c r="R10" s="377"/>
      <c r="S10" s="378"/>
      <c r="T10" s="500"/>
      <c r="U10" s="557"/>
      <c r="V10" s="556"/>
      <c r="W10" s="556"/>
      <c r="X10" s="541"/>
      <c r="Y10" s="556"/>
      <c r="Z10" s="556"/>
      <c r="AA10" s="556"/>
      <c r="AB10" s="541"/>
      <c r="AC10" s="556">
        <f t="shared" si="0"/>
        <v>10278</v>
      </c>
      <c r="AD10" s="556">
        <f t="shared" si="0"/>
        <v>10783</v>
      </c>
      <c r="AE10" s="556">
        <f t="shared" si="0"/>
        <v>11146</v>
      </c>
      <c r="AF10" s="541">
        <f t="shared" si="0"/>
        <v>12046</v>
      </c>
    </row>
    <row r="11" spans="1:32" ht="18" customHeight="1">
      <c r="A11" s="95" t="s">
        <v>1065</v>
      </c>
      <c r="B11" s="556"/>
      <c r="C11" s="556"/>
      <c r="D11" s="556"/>
      <c r="E11" s="541"/>
      <c r="F11" s="556"/>
      <c r="G11" s="556"/>
      <c r="H11" s="556"/>
      <c r="I11" s="541"/>
      <c r="J11" s="556"/>
      <c r="K11" s="556"/>
      <c r="L11" s="556"/>
      <c r="M11" s="541"/>
      <c r="N11" s="557"/>
      <c r="O11" s="556"/>
      <c r="P11" s="556"/>
      <c r="Q11" s="541"/>
      <c r="R11" s="377"/>
      <c r="S11" s="378"/>
      <c r="T11" s="500"/>
      <c r="U11" s="557"/>
      <c r="V11" s="556"/>
      <c r="W11" s="556"/>
      <c r="X11" s="541"/>
      <c r="Y11" s="556"/>
      <c r="Z11" s="556"/>
      <c r="AA11" s="556"/>
      <c r="AB11" s="541"/>
      <c r="AC11" s="556">
        <f t="shared" ref="AC11:AC35" si="1">+N11+J11+F11+B11+U11+Y11</f>
        <v>0</v>
      </c>
      <c r="AD11" s="556">
        <f t="shared" ref="AD11:AD35" si="2">+O11+K11+G11+C11+V11+Z11</f>
        <v>0</v>
      </c>
      <c r="AE11" s="556">
        <f t="shared" ref="AE11:AE27" si="3">+P11+L11+H11+D11+W11+AA11</f>
        <v>0</v>
      </c>
      <c r="AF11" s="541">
        <f t="shared" ref="AF11:AF27" si="4">+Q11+M11+I11+E11+X11+AB11</f>
        <v>0</v>
      </c>
    </row>
    <row r="12" spans="1:32" ht="18" customHeight="1">
      <c r="A12" s="95" t="s">
        <v>1066</v>
      </c>
      <c r="B12" s="556"/>
      <c r="C12" s="556"/>
      <c r="D12" s="556"/>
      <c r="E12" s="541"/>
      <c r="F12" s="556">
        <v>923</v>
      </c>
      <c r="G12" s="556">
        <v>919</v>
      </c>
      <c r="H12" s="556">
        <v>849</v>
      </c>
      <c r="I12" s="541">
        <v>554</v>
      </c>
      <c r="J12" s="556"/>
      <c r="K12" s="556"/>
      <c r="L12" s="556"/>
      <c r="M12" s="541"/>
      <c r="N12" s="557"/>
      <c r="O12" s="556"/>
      <c r="P12" s="556"/>
      <c r="Q12" s="541"/>
      <c r="R12" s="377"/>
      <c r="S12" s="378"/>
      <c r="T12" s="500"/>
      <c r="U12" s="557"/>
      <c r="V12" s="556"/>
      <c r="W12" s="556"/>
      <c r="X12" s="541"/>
      <c r="Y12" s="556"/>
      <c r="Z12" s="556"/>
      <c r="AA12" s="556"/>
      <c r="AB12" s="541"/>
      <c r="AC12" s="556">
        <f t="shared" si="1"/>
        <v>923</v>
      </c>
      <c r="AD12" s="556">
        <f t="shared" si="2"/>
        <v>919</v>
      </c>
      <c r="AE12" s="556">
        <f t="shared" si="3"/>
        <v>849</v>
      </c>
      <c r="AF12" s="541">
        <f t="shared" si="4"/>
        <v>554</v>
      </c>
    </row>
    <row r="13" spans="1:32" ht="18" customHeight="1">
      <c r="A13" s="95" t="s">
        <v>1099</v>
      </c>
      <c r="B13" s="556">
        <v>1583</v>
      </c>
      <c r="C13" s="556">
        <v>1551</v>
      </c>
      <c r="D13" s="556">
        <v>1761</v>
      </c>
      <c r="E13" s="541">
        <v>1667</v>
      </c>
      <c r="F13" s="556">
        <v>1169</v>
      </c>
      <c r="G13" s="556">
        <v>1153</v>
      </c>
      <c r="H13" s="556">
        <v>1039</v>
      </c>
      <c r="I13" s="541">
        <v>1147</v>
      </c>
      <c r="J13" s="556"/>
      <c r="K13" s="556"/>
      <c r="L13" s="556"/>
      <c r="M13" s="541"/>
      <c r="N13" s="557"/>
      <c r="O13" s="556"/>
      <c r="P13" s="556"/>
      <c r="Q13" s="541"/>
      <c r="R13" s="377"/>
      <c r="S13" s="378"/>
      <c r="T13" s="500"/>
      <c r="U13" s="557"/>
      <c r="V13" s="556"/>
      <c r="W13" s="556"/>
      <c r="X13" s="541"/>
      <c r="Y13" s="556"/>
      <c r="Z13" s="556"/>
      <c r="AA13" s="556"/>
      <c r="AB13" s="541"/>
      <c r="AC13" s="556">
        <f t="shared" si="1"/>
        <v>2752</v>
      </c>
      <c r="AD13" s="556">
        <f t="shared" si="2"/>
        <v>2704</v>
      </c>
      <c r="AE13" s="556">
        <f t="shared" si="3"/>
        <v>2800</v>
      </c>
      <c r="AF13" s="541">
        <f t="shared" si="4"/>
        <v>2814</v>
      </c>
    </row>
    <row r="14" spans="1:32" ht="18" customHeight="1">
      <c r="A14" s="540" t="s">
        <v>1068</v>
      </c>
      <c r="B14" s="556"/>
      <c r="C14" s="556"/>
      <c r="D14" s="556"/>
      <c r="E14" s="541"/>
      <c r="F14" s="556">
        <v>114</v>
      </c>
      <c r="G14" s="556">
        <v>188</v>
      </c>
      <c r="H14" s="556">
        <v>116</v>
      </c>
      <c r="I14" s="541">
        <v>84</v>
      </c>
      <c r="J14" s="556"/>
      <c r="K14" s="556"/>
      <c r="L14" s="556"/>
      <c r="M14" s="541"/>
      <c r="N14" s="557"/>
      <c r="O14" s="556"/>
      <c r="P14" s="556"/>
      <c r="Q14" s="541"/>
      <c r="R14" s="377"/>
      <c r="S14" s="378"/>
      <c r="T14" s="500"/>
      <c r="U14" s="557"/>
      <c r="V14" s="556"/>
      <c r="W14" s="556"/>
      <c r="X14" s="541"/>
      <c r="Y14" s="556"/>
      <c r="Z14" s="556"/>
      <c r="AA14" s="556"/>
      <c r="AB14" s="541"/>
      <c r="AC14" s="556">
        <f t="shared" si="1"/>
        <v>114</v>
      </c>
      <c r="AD14" s="556">
        <f t="shared" si="2"/>
        <v>188</v>
      </c>
      <c r="AE14" s="556">
        <f t="shared" si="3"/>
        <v>116</v>
      </c>
      <c r="AF14" s="541">
        <f t="shared" si="4"/>
        <v>84</v>
      </c>
    </row>
    <row r="15" spans="1:32" ht="18" customHeight="1">
      <c r="A15" s="540" t="s">
        <v>1069</v>
      </c>
      <c r="B15" s="556">
        <v>224</v>
      </c>
      <c r="C15" s="556">
        <v>193</v>
      </c>
      <c r="D15" s="556">
        <v>207</v>
      </c>
      <c r="E15" s="541">
        <v>259</v>
      </c>
      <c r="F15" s="556">
        <v>372</v>
      </c>
      <c r="G15" s="556">
        <v>216</v>
      </c>
      <c r="H15" s="556">
        <v>194</v>
      </c>
      <c r="I15" s="541">
        <v>186</v>
      </c>
      <c r="J15" s="556"/>
      <c r="K15" s="556"/>
      <c r="L15" s="556"/>
      <c r="M15" s="541"/>
      <c r="N15" s="557"/>
      <c r="O15" s="556"/>
      <c r="P15" s="556"/>
      <c r="Q15" s="541"/>
      <c r="R15" s="377"/>
      <c r="S15" s="378"/>
      <c r="T15" s="500"/>
      <c r="U15" s="557"/>
      <c r="V15" s="556"/>
      <c r="W15" s="556"/>
      <c r="X15" s="541"/>
      <c r="Y15" s="556"/>
      <c r="Z15" s="556"/>
      <c r="AA15" s="556"/>
      <c r="AB15" s="541"/>
      <c r="AC15" s="556">
        <f t="shared" si="1"/>
        <v>596</v>
      </c>
      <c r="AD15" s="556">
        <f t="shared" si="2"/>
        <v>409</v>
      </c>
      <c r="AE15" s="556">
        <f t="shared" si="3"/>
        <v>401</v>
      </c>
      <c r="AF15" s="541">
        <f t="shared" si="4"/>
        <v>445</v>
      </c>
    </row>
    <row r="16" spans="1:32" ht="18" customHeight="1">
      <c r="A16" s="540" t="s">
        <v>1070</v>
      </c>
      <c r="B16" s="556">
        <v>296</v>
      </c>
      <c r="C16" s="556">
        <v>301</v>
      </c>
      <c r="D16" s="556">
        <v>295</v>
      </c>
      <c r="E16" s="541">
        <v>366</v>
      </c>
      <c r="F16" s="556"/>
      <c r="G16" s="556"/>
      <c r="H16" s="556"/>
      <c r="I16" s="541"/>
      <c r="J16" s="556"/>
      <c r="K16" s="556"/>
      <c r="L16" s="556"/>
      <c r="M16" s="541"/>
      <c r="N16" s="557"/>
      <c r="O16" s="556"/>
      <c r="P16" s="556"/>
      <c r="Q16" s="541"/>
      <c r="R16" s="377"/>
      <c r="S16" s="378"/>
      <c r="T16" s="500"/>
      <c r="U16" s="557"/>
      <c r="V16" s="556"/>
      <c r="W16" s="556"/>
      <c r="X16" s="541"/>
      <c r="Y16" s="556"/>
      <c r="Z16" s="556"/>
      <c r="AA16" s="556"/>
      <c r="AB16" s="541"/>
      <c r="AC16" s="556">
        <f t="shared" si="1"/>
        <v>296</v>
      </c>
      <c r="AD16" s="556">
        <f t="shared" si="2"/>
        <v>301</v>
      </c>
      <c r="AE16" s="556">
        <f t="shared" si="3"/>
        <v>295</v>
      </c>
      <c r="AF16" s="541">
        <f t="shared" si="4"/>
        <v>366</v>
      </c>
    </row>
    <row r="17" spans="1:32" ht="18" customHeight="1">
      <c r="A17" s="540" t="s">
        <v>1071</v>
      </c>
      <c r="B17" s="556">
        <v>622</v>
      </c>
      <c r="C17" s="556">
        <v>534</v>
      </c>
      <c r="D17" s="556">
        <v>625</v>
      </c>
      <c r="E17" s="541">
        <v>685</v>
      </c>
      <c r="F17" s="556"/>
      <c r="G17" s="556"/>
      <c r="H17" s="556"/>
      <c r="I17" s="541"/>
      <c r="J17" s="556"/>
      <c r="K17" s="556"/>
      <c r="L17" s="556"/>
      <c r="M17" s="541"/>
      <c r="N17" s="557"/>
      <c r="O17" s="556"/>
      <c r="P17" s="556"/>
      <c r="Q17" s="541"/>
      <c r="R17" s="377"/>
      <c r="S17" s="378"/>
      <c r="T17" s="500"/>
      <c r="U17" s="557"/>
      <c r="V17" s="556"/>
      <c r="W17" s="556"/>
      <c r="X17" s="541"/>
      <c r="Y17" s="556"/>
      <c r="Z17" s="556"/>
      <c r="AA17" s="556"/>
      <c r="AB17" s="541"/>
      <c r="AC17" s="556">
        <f t="shared" si="1"/>
        <v>622</v>
      </c>
      <c r="AD17" s="556">
        <f t="shared" si="2"/>
        <v>534</v>
      </c>
      <c r="AE17" s="556">
        <f t="shared" si="3"/>
        <v>625</v>
      </c>
      <c r="AF17" s="541">
        <f t="shared" si="4"/>
        <v>685</v>
      </c>
    </row>
    <row r="18" spans="1:32" ht="18" customHeight="1">
      <c r="A18" s="540" t="s">
        <v>1072</v>
      </c>
      <c r="B18" s="556"/>
      <c r="C18" s="556"/>
      <c r="D18" s="556"/>
      <c r="E18" s="541"/>
      <c r="F18" s="556">
        <v>976</v>
      </c>
      <c r="G18" s="556">
        <v>809</v>
      </c>
      <c r="H18" s="556">
        <v>670</v>
      </c>
      <c r="I18" s="541">
        <v>671</v>
      </c>
      <c r="J18" s="556"/>
      <c r="K18" s="556"/>
      <c r="L18" s="556"/>
      <c r="M18" s="541"/>
      <c r="N18" s="557"/>
      <c r="O18" s="556"/>
      <c r="P18" s="556"/>
      <c r="Q18" s="541"/>
      <c r="R18" s="377"/>
      <c r="S18" s="378"/>
      <c r="T18" s="500"/>
      <c r="U18" s="557"/>
      <c r="V18" s="556"/>
      <c r="W18" s="556"/>
      <c r="X18" s="541"/>
      <c r="Y18" s="556"/>
      <c r="Z18" s="556"/>
      <c r="AA18" s="556"/>
      <c r="AB18" s="541"/>
      <c r="AC18" s="556">
        <f t="shared" si="1"/>
        <v>976</v>
      </c>
      <c r="AD18" s="556">
        <f t="shared" si="2"/>
        <v>809</v>
      </c>
      <c r="AE18" s="556">
        <f t="shared" si="3"/>
        <v>670</v>
      </c>
      <c r="AF18" s="541">
        <f t="shared" si="4"/>
        <v>671</v>
      </c>
    </row>
    <row r="19" spans="1:32" ht="18" customHeight="1">
      <c r="A19" s="95" t="s">
        <v>1073</v>
      </c>
      <c r="B19" s="556"/>
      <c r="C19" s="556"/>
      <c r="D19" s="556"/>
      <c r="E19" s="541"/>
      <c r="F19" s="556">
        <v>961</v>
      </c>
      <c r="G19" s="556">
        <v>901</v>
      </c>
      <c r="H19" s="556">
        <v>1021</v>
      </c>
      <c r="I19" s="541">
        <v>996</v>
      </c>
      <c r="J19" s="556"/>
      <c r="K19" s="556"/>
      <c r="L19" s="556"/>
      <c r="M19" s="541"/>
      <c r="N19" s="557"/>
      <c r="O19" s="556"/>
      <c r="P19" s="556"/>
      <c r="Q19" s="541"/>
      <c r="R19" s="377"/>
      <c r="S19" s="378"/>
      <c r="T19" s="500"/>
      <c r="U19" s="557"/>
      <c r="V19" s="556"/>
      <c r="W19" s="556"/>
      <c r="X19" s="541"/>
      <c r="Y19" s="556"/>
      <c r="Z19" s="556"/>
      <c r="AA19" s="556"/>
      <c r="AB19" s="541"/>
      <c r="AC19" s="556">
        <f t="shared" si="1"/>
        <v>961</v>
      </c>
      <c r="AD19" s="556">
        <f t="shared" si="2"/>
        <v>901</v>
      </c>
      <c r="AE19" s="556">
        <f t="shared" si="3"/>
        <v>1021</v>
      </c>
      <c r="AF19" s="541">
        <f t="shared" si="4"/>
        <v>996</v>
      </c>
    </row>
    <row r="20" spans="1:32" ht="18" customHeight="1">
      <c r="A20" s="95" t="s">
        <v>1074</v>
      </c>
      <c r="B20" s="556"/>
      <c r="C20" s="556"/>
      <c r="D20" s="556"/>
      <c r="E20" s="541"/>
      <c r="F20" s="556">
        <v>9</v>
      </c>
      <c r="G20" s="556">
        <v>7</v>
      </c>
      <c r="H20" s="556">
        <v>15</v>
      </c>
      <c r="I20" s="541">
        <v>10</v>
      </c>
      <c r="J20" s="556"/>
      <c r="K20" s="556"/>
      <c r="L20" s="556"/>
      <c r="M20" s="541"/>
      <c r="N20" s="557"/>
      <c r="O20" s="556"/>
      <c r="P20" s="556"/>
      <c r="Q20" s="541"/>
      <c r="R20" s="377"/>
      <c r="S20" s="378"/>
      <c r="T20" s="500"/>
      <c r="U20" s="557"/>
      <c r="V20" s="556"/>
      <c r="W20" s="556"/>
      <c r="X20" s="541"/>
      <c r="Y20" s="556"/>
      <c r="Z20" s="556"/>
      <c r="AA20" s="556"/>
      <c r="AB20" s="541"/>
      <c r="AC20" s="556">
        <f t="shared" si="1"/>
        <v>9</v>
      </c>
      <c r="AD20" s="556">
        <f t="shared" si="2"/>
        <v>7</v>
      </c>
      <c r="AE20" s="556">
        <f t="shared" si="3"/>
        <v>15</v>
      </c>
      <c r="AF20" s="541">
        <f t="shared" si="4"/>
        <v>10</v>
      </c>
    </row>
    <row r="21" spans="1:32" ht="18" customHeight="1">
      <c r="A21" s="1077" t="s">
        <v>863</v>
      </c>
      <c r="B21" s="556"/>
      <c r="C21" s="556"/>
      <c r="D21" s="556"/>
      <c r="E21" s="541"/>
      <c r="F21" s="556">
        <v>5</v>
      </c>
      <c r="G21" s="556">
        <v>7</v>
      </c>
      <c r="H21" s="556">
        <v>5</v>
      </c>
      <c r="I21" s="541">
        <v>25</v>
      </c>
      <c r="J21" s="556"/>
      <c r="K21" s="556"/>
      <c r="L21" s="556"/>
      <c r="M21" s="541"/>
      <c r="N21" s="557"/>
      <c r="O21" s="556"/>
      <c r="P21" s="556"/>
      <c r="Q21" s="541"/>
      <c r="R21" s="377"/>
      <c r="S21" s="378"/>
      <c r="T21" s="500"/>
      <c r="U21" s="557"/>
      <c r="V21" s="556"/>
      <c r="W21" s="556"/>
      <c r="X21" s="541"/>
      <c r="Y21" s="556"/>
      <c r="Z21" s="556"/>
      <c r="AA21" s="556"/>
      <c r="AB21" s="541"/>
      <c r="AC21" s="556">
        <f>+N21+J21+F21+B21+U21+Y21</f>
        <v>5</v>
      </c>
      <c r="AD21" s="556">
        <f>+O21+K21+G21+C21+V21+Z21</f>
        <v>7</v>
      </c>
      <c r="AE21" s="556">
        <f t="shared" si="3"/>
        <v>5</v>
      </c>
      <c r="AF21" s="541">
        <f t="shared" si="4"/>
        <v>25</v>
      </c>
    </row>
    <row r="22" spans="1:32" ht="18" customHeight="1">
      <c r="A22" s="95" t="s">
        <v>1075</v>
      </c>
      <c r="B22" s="556">
        <v>2109</v>
      </c>
      <c r="C22" s="556">
        <v>1682</v>
      </c>
      <c r="D22" s="556">
        <v>1676</v>
      </c>
      <c r="E22" s="541">
        <v>1747</v>
      </c>
      <c r="F22" s="556">
        <v>101</v>
      </c>
      <c r="G22" s="556">
        <v>94</v>
      </c>
      <c r="H22" s="556">
        <v>96</v>
      </c>
      <c r="I22" s="541">
        <v>116</v>
      </c>
      <c r="J22" s="556"/>
      <c r="K22" s="556"/>
      <c r="L22" s="556"/>
      <c r="M22" s="541"/>
      <c r="N22" s="557"/>
      <c r="O22" s="556"/>
      <c r="P22" s="556"/>
      <c r="Q22" s="541"/>
      <c r="R22" s="377"/>
      <c r="S22" s="378"/>
      <c r="T22" s="500"/>
      <c r="U22" s="557"/>
      <c r="V22" s="556"/>
      <c r="W22" s="556"/>
      <c r="X22" s="541"/>
      <c r="Y22" s="556"/>
      <c r="Z22" s="556"/>
      <c r="AA22" s="556"/>
      <c r="AB22" s="541"/>
      <c r="AC22" s="556">
        <f t="shared" si="1"/>
        <v>2210</v>
      </c>
      <c r="AD22" s="556">
        <f t="shared" si="2"/>
        <v>1776</v>
      </c>
      <c r="AE22" s="556">
        <f t="shared" si="3"/>
        <v>1772</v>
      </c>
      <c r="AF22" s="541">
        <f t="shared" si="4"/>
        <v>1863</v>
      </c>
    </row>
    <row r="23" spans="1:32" ht="18" customHeight="1">
      <c r="A23" s="95" t="s">
        <v>1076</v>
      </c>
      <c r="B23" s="556"/>
      <c r="C23" s="556"/>
      <c r="D23" s="556"/>
      <c r="E23" s="541"/>
      <c r="F23" s="556"/>
      <c r="G23" s="556"/>
      <c r="H23" s="556"/>
      <c r="I23" s="541"/>
      <c r="J23" s="556"/>
      <c r="K23" s="556"/>
      <c r="L23" s="556"/>
      <c r="M23" s="541"/>
      <c r="N23" s="556">
        <v>499</v>
      </c>
      <c r="O23" s="556">
        <v>513</v>
      </c>
      <c r="P23" s="556">
        <v>542</v>
      </c>
      <c r="Q23" s="541">
        <v>495</v>
      </c>
      <c r="R23" s="377">
        <v>115</v>
      </c>
      <c r="S23" s="378">
        <v>151</v>
      </c>
      <c r="T23" s="500">
        <v>146</v>
      </c>
      <c r="U23" s="557"/>
      <c r="V23" s="556"/>
      <c r="W23" s="556"/>
      <c r="X23" s="541"/>
      <c r="Y23" s="556"/>
      <c r="Z23" s="556"/>
      <c r="AA23" s="556"/>
      <c r="AB23" s="541"/>
      <c r="AC23" s="556">
        <f t="shared" si="1"/>
        <v>499</v>
      </c>
      <c r="AD23" s="556">
        <f>+O23+K23+G23+C23+R23+V23+Z23</f>
        <v>628</v>
      </c>
      <c r="AE23" s="556">
        <f>+P23+L23+H23+D23+S23+W23+AA23</f>
        <v>693</v>
      </c>
      <c r="AF23" s="541">
        <f>+Q23+M23+I23+E23+T23+X23+AB23</f>
        <v>641</v>
      </c>
    </row>
    <row r="24" spans="1:32" ht="18" customHeight="1">
      <c r="A24" s="95" t="s">
        <v>1077</v>
      </c>
      <c r="B24" s="556">
        <v>2454</v>
      </c>
      <c r="C24" s="556">
        <v>2550</v>
      </c>
      <c r="D24" s="556">
        <v>2382</v>
      </c>
      <c r="E24" s="541">
        <v>2583</v>
      </c>
      <c r="F24" s="556">
        <v>2093</v>
      </c>
      <c r="G24" s="556">
        <v>1630</v>
      </c>
      <c r="H24" s="556">
        <v>1616</v>
      </c>
      <c r="I24" s="541">
        <v>1655</v>
      </c>
      <c r="J24" s="556"/>
      <c r="K24" s="556"/>
      <c r="L24" s="556"/>
      <c r="M24" s="541"/>
      <c r="N24" s="556"/>
      <c r="O24" s="556"/>
      <c r="P24" s="556"/>
      <c r="Q24" s="541"/>
      <c r="R24" s="377"/>
      <c r="S24" s="378"/>
      <c r="T24" s="500"/>
      <c r="U24" s="557"/>
      <c r="V24" s="556"/>
      <c r="W24" s="556"/>
      <c r="X24" s="541"/>
      <c r="Y24" s="556"/>
      <c r="Z24" s="556"/>
      <c r="AA24" s="556"/>
      <c r="AB24" s="541"/>
      <c r="AC24" s="556">
        <f t="shared" si="1"/>
        <v>4547</v>
      </c>
      <c r="AD24" s="556">
        <f t="shared" si="2"/>
        <v>4180</v>
      </c>
      <c r="AE24" s="556">
        <f t="shared" si="3"/>
        <v>3998</v>
      </c>
      <c r="AF24" s="541">
        <f t="shared" si="4"/>
        <v>4238</v>
      </c>
    </row>
    <row r="25" spans="1:32" ht="18" customHeight="1">
      <c r="A25" s="95" t="s">
        <v>1078</v>
      </c>
      <c r="B25" s="556"/>
      <c r="C25" s="556"/>
      <c r="D25" s="556"/>
      <c r="E25" s="541"/>
      <c r="F25" s="556">
        <v>312</v>
      </c>
      <c r="G25" s="556">
        <v>317</v>
      </c>
      <c r="H25" s="556">
        <v>365</v>
      </c>
      <c r="I25" s="541">
        <v>443</v>
      </c>
      <c r="J25" s="556"/>
      <c r="K25" s="556"/>
      <c r="L25" s="556"/>
      <c r="M25" s="541"/>
      <c r="N25" s="556"/>
      <c r="O25" s="556"/>
      <c r="P25" s="556"/>
      <c r="Q25" s="541"/>
      <c r="R25" s="377"/>
      <c r="S25" s="378"/>
      <c r="T25" s="500"/>
      <c r="U25" s="557"/>
      <c r="V25" s="556"/>
      <c r="W25" s="556"/>
      <c r="X25" s="541"/>
      <c r="Y25" s="556"/>
      <c r="Z25" s="556"/>
      <c r="AA25" s="556"/>
      <c r="AB25" s="541"/>
      <c r="AC25" s="556">
        <f t="shared" si="1"/>
        <v>312</v>
      </c>
      <c r="AD25" s="556">
        <f t="shared" si="2"/>
        <v>317</v>
      </c>
      <c r="AE25" s="556">
        <f t="shared" si="3"/>
        <v>365</v>
      </c>
      <c r="AF25" s="541">
        <f t="shared" si="4"/>
        <v>443</v>
      </c>
    </row>
    <row r="26" spans="1:32" ht="18" customHeight="1">
      <c r="A26" s="1077" t="s">
        <v>1198</v>
      </c>
      <c r="B26" s="556"/>
      <c r="C26" s="556"/>
      <c r="D26" s="556"/>
      <c r="E26" s="541"/>
      <c r="F26" s="556">
        <v>13</v>
      </c>
      <c r="G26" s="556"/>
      <c r="H26" s="556"/>
      <c r="I26" s="541"/>
      <c r="J26" s="556"/>
      <c r="K26" s="556"/>
      <c r="L26" s="556"/>
      <c r="M26" s="541"/>
      <c r="N26" s="556"/>
      <c r="O26" s="556"/>
      <c r="P26" s="556"/>
      <c r="Q26" s="541"/>
      <c r="R26" s="377"/>
      <c r="S26" s="378"/>
      <c r="T26" s="500"/>
      <c r="U26" s="557"/>
      <c r="V26" s="556"/>
      <c r="W26" s="556"/>
      <c r="X26" s="541"/>
      <c r="Y26" s="556"/>
      <c r="Z26" s="556"/>
      <c r="AA26" s="556"/>
      <c r="AB26" s="541"/>
      <c r="AC26" s="556">
        <f>+N26+J26+F26+B26+U26+Y26</f>
        <v>13</v>
      </c>
      <c r="AD26" s="556">
        <f>+O26+K26+G26+C26+V26+Z26</f>
        <v>0</v>
      </c>
      <c r="AE26" s="556">
        <f t="shared" si="3"/>
        <v>0</v>
      </c>
      <c r="AF26" s="541">
        <f t="shared" si="4"/>
        <v>0</v>
      </c>
    </row>
    <row r="27" spans="1:32" ht="18" customHeight="1">
      <c r="A27" s="95" t="s">
        <v>1079</v>
      </c>
      <c r="B27" s="556"/>
      <c r="C27" s="556"/>
      <c r="D27" s="556"/>
      <c r="E27" s="541"/>
      <c r="F27" s="556">
        <v>163</v>
      </c>
      <c r="G27" s="556">
        <v>184</v>
      </c>
      <c r="H27" s="556">
        <v>195</v>
      </c>
      <c r="I27" s="541">
        <v>448</v>
      </c>
      <c r="J27" s="556"/>
      <c r="K27" s="556"/>
      <c r="L27" s="556"/>
      <c r="M27" s="541"/>
      <c r="N27" s="556"/>
      <c r="O27" s="556"/>
      <c r="P27" s="556"/>
      <c r="Q27" s="541"/>
      <c r="R27" s="377"/>
      <c r="S27" s="378"/>
      <c r="T27" s="500"/>
      <c r="U27" s="557"/>
      <c r="V27" s="556"/>
      <c r="W27" s="556"/>
      <c r="X27" s="541"/>
      <c r="Y27" s="556"/>
      <c r="Z27" s="556"/>
      <c r="AA27" s="556"/>
      <c r="AB27" s="541"/>
      <c r="AC27" s="556">
        <f t="shared" si="1"/>
        <v>163</v>
      </c>
      <c r="AD27" s="556">
        <f t="shared" si="2"/>
        <v>184</v>
      </c>
      <c r="AE27" s="556">
        <f t="shared" si="3"/>
        <v>195</v>
      </c>
      <c r="AF27" s="541">
        <f t="shared" si="4"/>
        <v>448</v>
      </c>
    </row>
    <row r="28" spans="1:32" ht="18" customHeight="1">
      <c r="A28" s="95" t="s">
        <v>1080</v>
      </c>
      <c r="B28" s="556">
        <v>502</v>
      </c>
      <c r="C28" s="556">
        <v>583</v>
      </c>
      <c r="D28" s="556">
        <v>597</v>
      </c>
      <c r="E28" s="541">
        <v>617</v>
      </c>
      <c r="F28" s="556"/>
      <c r="G28" s="556"/>
      <c r="H28" s="556"/>
      <c r="I28" s="541"/>
      <c r="J28" s="556"/>
      <c r="K28" s="556"/>
      <c r="L28" s="556"/>
      <c r="M28" s="541"/>
      <c r="N28" s="556"/>
      <c r="O28" s="556"/>
      <c r="P28" s="556"/>
      <c r="Q28" s="541"/>
      <c r="R28" s="377"/>
      <c r="S28" s="378"/>
      <c r="T28" s="500"/>
      <c r="U28" s="557"/>
      <c r="V28" s="556"/>
      <c r="W28" s="556"/>
      <c r="X28" s="541"/>
      <c r="Y28" s="556"/>
      <c r="Z28" s="556"/>
      <c r="AA28" s="556"/>
      <c r="AB28" s="541"/>
      <c r="AC28" s="556">
        <f t="shared" si="1"/>
        <v>502</v>
      </c>
      <c r="AD28" s="556">
        <f t="shared" si="2"/>
        <v>583</v>
      </c>
      <c r="AE28" s="556">
        <f t="shared" ref="AE28:AE35" si="5">+P28+L28+H28+D28+W28+AA28</f>
        <v>597</v>
      </c>
      <c r="AF28" s="541">
        <f t="shared" ref="AF28:AF35" si="6">+Q28+M28+I28+E28+X28+AB28</f>
        <v>617</v>
      </c>
    </row>
    <row r="29" spans="1:32" ht="18" customHeight="1">
      <c r="A29" s="95" t="s">
        <v>1081</v>
      </c>
      <c r="B29" s="556"/>
      <c r="C29" s="556">
        <v>1</v>
      </c>
      <c r="D29" s="556">
        <v>35</v>
      </c>
      <c r="E29" s="541"/>
      <c r="F29" s="556"/>
      <c r="G29" s="556">
        <v>1</v>
      </c>
      <c r="H29" s="556">
        <v>2</v>
      </c>
      <c r="I29" s="541"/>
      <c r="J29" s="556">
        <v>3</v>
      </c>
      <c r="K29" s="556">
        <v>1</v>
      </c>
      <c r="L29" s="556">
        <v>32</v>
      </c>
      <c r="M29" s="541"/>
      <c r="N29" s="556"/>
      <c r="O29" s="556"/>
      <c r="P29" s="556"/>
      <c r="Q29" s="541"/>
      <c r="R29" s="377"/>
      <c r="S29" s="378"/>
      <c r="T29" s="500"/>
      <c r="U29" s="556"/>
      <c r="V29" s="556"/>
      <c r="W29" s="556"/>
      <c r="X29" s="541"/>
      <c r="Y29" s="556"/>
      <c r="Z29" s="556"/>
      <c r="AA29" s="556"/>
      <c r="AB29" s="541"/>
      <c r="AC29" s="556">
        <f t="shared" si="1"/>
        <v>3</v>
      </c>
      <c r="AD29" s="556">
        <f t="shared" si="2"/>
        <v>3</v>
      </c>
      <c r="AE29" s="556">
        <f t="shared" si="5"/>
        <v>69</v>
      </c>
      <c r="AF29" s="541">
        <f t="shared" si="6"/>
        <v>0</v>
      </c>
    </row>
    <row r="30" spans="1:32" ht="18" customHeight="1">
      <c r="A30" s="95" t="s">
        <v>1082</v>
      </c>
      <c r="B30" s="556">
        <v>375</v>
      </c>
      <c r="C30" s="556">
        <v>426</v>
      </c>
      <c r="D30" s="556">
        <v>397</v>
      </c>
      <c r="E30" s="541">
        <v>465</v>
      </c>
      <c r="F30" s="556">
        <v>339</v>
      </c>
      <c r="G30" s="556">
        <v>324</v>
      </c>
      <c r="H30" s="556">
        <v>362</v>
      </c>
      <c r="I30" s="541">
        <v>361</v>
      </c>
      <c r="J30" s="556">
        <v>21</v>
      </c>
      <c r="K30" s="556">
        <v>59</v>
      </c>
      <c r="L30" s="556">
        <v>17</v>
      </c>
      <c r="M30" s="541"/>
      <c r="N30" s="556"/>
      <c r="O30" s="556"/>
      <c r="P30" s="556"/>
      <c r="Q30" s="541"/>
      <c r="R30" s="377"/>
      <c r="S30" s="378"/>
      <c r="T30" s="500"/>
      <c r="U30" s="556"/>
      <c r="V30" s="556"/>
      <c r="W30" s="556"/>
      <c r="X30" s="541"/>
      <c r="Y30" s="556"/>
      <c r="Z30" s="556"/>
      <c r="AA30" s="556"/>
      <c r="AB30" s="541"/>
      <c r="AC30" s="556">
        <f t="shared" si="1"/>
        <v>735</v>
      </c>
      <c r="AD30" s="556">
        <f t="shared" si="2"/>
        <v>809</v>
      </c>
      <c r="AE30" s="556">
        <f t="shared" si="5"/>
        <v>776</v>
      </c>
      <c r="AF30" s="541">
        <f t="shared" si="6"/>
        <v>826</v>
      </c>
    </row>
    <row r="31" spans="1:32" ht="18" customHeight="1">
      <c r="A31" s="95" t="s">
        <v>1083</v>
      </c>
      <c r="B31" s="556">
        <v>8641</v>
      </c>
      <c r="C31" s="556">
        <v>3110</v>
      </c>
      <c r="D31" s="556">
        <v>2663</v>
      </c>
      <c r="E31" s="541">
        <v>2251</v>
      </c>
      <c r="F31" s="556"/>
      <c r="G31" s="556"/>
      <c r="H31" s="556"/>
      <c r="I31" s="541"/>
      <c r="J31" s="556"/>
      <c r="K31" s="556"/>
      <c r="L31" s="556"/>
      <c r="M31" s="541"/>
      <c r="N31" s="556"/>
      <c r="O31" s="556"/>
      <c r="P31" s="556"/>
      <c r="Q31" s="541"/>
      <c r="R31" s="377"/>
      <c r="S31" s="378"/>
      <c r="T31" s="500"/>
      <c r="U31" s="556"/>
      <c r="V31" s="556"/>
      <c r="W31" s="556"/>
      <c r="X31" s="541"/>
      <c r="Y31" s="556"/>
      <c r="Z31" s="556">
        <v>401</v>
      </c>
      <c r="AA31" s="556">
        <v>22</v>
      </c>
      <c r="AB31" s="541"/>
      <c r="AC31" s="556">
        <f t="shared" si="1"/>
        <v>8641</v>
      </c>
      <c r="AD31" s="556">
        <f t="shared" si="2"/>
        <v>3511</v>
      </c>
      <c r="AE31" s="556">
        <f t="shared" si="5"/>
        <v>2685</v>
      </c>
      <c r="AF31" s="541">
        <f t="shared" si="6"/>
        <v>2251</v>
      </c>
    </row>
    <row r="32" spans="1:32" ht="18" customHeight="1">
      <c r="A32" s="95" t="s">
        <v>1084</v>
      </c>
      <c r="B32" s="556">
        <v>2187</v>
      </c>
      <c r="C32" s="556">
        <v>543</v>
      </c>
      <c r="D32" s="556">
        <v>414</v>
      </c>
      <c r="E32" s="541">
        <v>355</v>
      </c>
      <c r="F32" s="556"/>
      <c r="G32" s="556"/>
      <c r="H32" s="556"/>
      <c r="I32" s="541"/>
      <c r="J32" s="556"/>
      <c r="K32" s="556"/>
      <c r="L32" s="556"/>
      <c r="M32" s="541"/>
      <c r="N32" s="556"/>
      <c r="O32" s="556"/>
      <c r="P32" s="556"/>
      <c r="Q32" s="541"/>
      <c r="R32" s="377"/>
      <c r="S32" s="378"/>
      <c r="T32" s="500"/>
      <c r="U32" s="557"/>
      <c r="V32" s="556"/>
      <c r="W32" s="556"/>
      <c r="X32" s="541"/>
      <c r="Y32" s="556"/>
      <c r="Z32" s="556"/>
      <c r="AA32" s="556"/>
      <c r="AB32" s="541"/>
      <c r="AC32" s="556">
        <f t="shared" si="1"/>
        <v>2187</v>
      </c>
      <c r="AD32" s="556">
        <f t="shared" si="2"/>
        <v>543</v>
      </c>
      <c r="AE32" s="556">
        <f t="shared" si="5"/>
        <v>414</v>
      </c>
      <c r="AF32" s="541">
        <f t="shared" si="6"/>
        <v>355</v>
      </c>
    </row>
    <row r="33" spans="1:32" ht="18" customHeight="1">
      <c r="A33" s="95" t="s">
        <v>1085</v>
      </c>
      <c r="B33" s="556"/>
      <c r="C33" s="556"/>
      <c r="D33" s="556"/>
      <c r="E33" s="541"/>
      <c r="F33" s="556">
        <v>2823</v>
      </c>
      <c r="G33" s="556">
        <v>3040</v>
      </c>
      <c r="H33" s="556">
        <v>3142</v>
      </c>
      <c r="I33" s="541">
        <v>3096</v>
      </c>
      <c r="J33" s="556"/>
      <c r="K33" s="556"/>
      <c r="L33" s="556"/>
      <c r="M33" s="541"/>
      <c r="N33" s="556"/>
      <c r="O33" s="556"/>
      <c r="P33" s="556"/>
      <c r="Q33" s="541"/>
      <c r="R33" s="377"/>
      <c r="S33" s="378"/>
      <c r="T33" s="500"/>
      <c r="U33" s="557"/>
      <c r="V33" s="556"/>
      <c r="W33" s="556"/>
      <c r="X33" s="541"/>
      <c r="Y33" s="556"/>
      <c r="Z33" s="556"/>
      <c r="AA33" s="556"/>
      <c r="AB33" s="541"/>
      <c r="AC33" s="556">
        <f t="shared" si="1"/>
        <v>2823</v>
      </c>
      <c r="AD33" s="556">
        <f t="shared" si="2"/>
        <v>3040</v>
      </c>
      <c r="AE33" s="556">
        <f t="shared" si="5"/>
        <v>3142</v>
      </c>
      <c r="AF33" s="541">
        <f t="shared" si="6"/>
        <v>3096</v>
      </c>
    </row>
    <row r="34" spans="1:32" ht="18" customHeight="1">
      <c r="A34" s="95" t="s">
        <v>1086</v>
      </c>
      <c r="B34" s="556">
        <v>112</v>
      </c>
      <c r="C34" s="556">
        <v>79</v>
      </c>
      <c r="D34" s="556">
        <v>55</v>
      </c>
      <c r="E34" s="541">
        <v>32</v>
      </c>
      <c r="F34" s="556">
        <v>2955</v>
      </c>
      <c r="G34" s="556">
        <v>2480</v>
      </c>
      <c r="H34" s="556">
        <v>2635</v>
      </c>
      <c r="I34" s="541">
        <v>2395</v>
      </c>
      <c r="J34" s="556"/>
      <c r="K34" s="556"/>
      <c r="L34" s="556"/>
      <c r="M34" s="541"/>
      <c r="N34" s="556"/>
      <c r="O34" s="556"/>
      <c r="P34" s="556"/>
      <c r="Q34" s="541"/>
      <c r="R34" s="377"/>
      <c r="S34" s="378"/>
      <c r="T34" s="500"/>
      <c r="U34" s="557"/>
      <c r="V34" s="556"/>
      <c r="W34" s="556"/>
      <c r="X34" s="541"/>
      <c r="Y34" s="556"/>
      <c r="Z34" s="556"/>
      <c r="AA34" s="556"/>
      <c r="AB34" s="541"/>
      <c r="AC34" s="556">
        <f t="shared" si="1"/>
        <v>3067</v>
      </c>
      <c r="AD34" s="556">
        <f t="shared" si="2"/>
        <v>2559</v>
      </c>
      <c r="AE34" s="556">
        <f t="shared" si="5"/>
        <v>2690</v>
      </c>
      <c r="AF34" s="541">
        <f t="shared" si="6"/>
        <v>2427</v>
      </c>
    </row>
    <row r="35" spans="1:32" ht="18" customHeight="1">
      <c r="A35" s="95" t="s">
        <v>1087</v>
      </c>
      <c r="B35" s="556">
        <v>229</v>
      </c>
      <c r="C35" s="556">
        <v>287</v>
      </c>
      <c r="D35" s="556">
        <v>325</v>
      </c>
      <c r="E35" s="541">
        <v>166</v>
      </c>
      <c r="F35" s="556"/>
      <c r="G35" s="556"/>
      <c r="H35" s="556"/>
      <c r="I35" s="541"/>
      <c r="J35" s="556"/>
      <c r="K35" s="556"/>
      <c r="L35" s="556"/>
      <c r="M35" s="541"/>
      <c r="N35" s="556"/>
      <c r="O35" s="556"/>
      <c r="P35" s="556"/>
      <c r="Q35" s="541"/>
      <c r="R35" s="377"/>
      <c r="S35" s="378"/>
      <c r="T35" s="500"/>
      <c r="U35" s="557"/>
      <c r="V35" s="556"/>
      <c r="W35" s="556"/>
      <c r="X35" s="541"/>
      <c r="Y35" s="556"/>
      <c r="Z35" s="556"/>
      <c r="AA35" s="556"/>
      <c r="AB35" s="541"/>
      <c r="AC35" s="556">
        <f t="shared" si="1"/>
        <v>229</v>
      </c>
      <c r="AD35" s="556">
        <f t="shared" si="2"/>
        <v>287</v>
      </c>
      <c r="AE35" s="556">
        <f t="shared" si="5"/>
        <v>325</v>
      </c>
      <c r="AF35" s="541">
        <f t="shared" si="6"/>
        <v>166</v>
      </c>
    </row>
    <row r="36" spans="1:32" ht="18" customHeight="1">
      <c r="A36" s="15" t="s">
        <v>923</v>
      </c>
      <c r="B36" s="559">
        <v>24283</v>
      </c>
      <c r="C36" s="559">
        <v>17543</v>
      </c>
      <c r="D36" s="559">
        <v>17961</v>
      </c>
      <c r="E36" s="560">
        <f t="shared" ref="E36:AF36" si="7">SUM(E9:E35)</f>
        <v>18952</v>
      </c>
      <c r="F36" s="559">
        <v>18657</v>
      </c>
      <c r="G36" s="559">
        <v>17350</v>
      </c>
      <c r="H36" s="559">
        <v>16939</v>
      </c>
      <c r="I36" s="560">
        <f t="shared" si="7"/>
        <v>16474</v>
      </c>
      <c r="J36" s="559">
        <f t="shared" si="7"/>
        <v>24</v>
      </c>
      <c r="K36" s="559">
        <f t="shared" si="7"/>
        <v>60</v>
      </c>
      <c r="L36" s="559">
        <f t="shared" si="7"/>
        <v>49</v>
      </c>
      <c r="M36" s="560">
        <f t="shared" si="7"/>
        <v>0</v>
      </c>
      <c r="N36" s="559">
        <v>499</v>
      </c>
      <c r="O36" s="559">
        <v>513</v>
      </c>
      <c r="P36" s="559">
        <v>542</v>
      </c>
      <c r="Q36" s="560">
        <f t="shared" si="7"/>
        <v>495</v>
      </c>
      <c r="R36" s="381">
        <f>SUM(R19:R35)</f>
        <v>115</v>
      </c>
      <c r="S36" s="382">
        <f>SUM(S19:S35)</f>
        <v>151</v>
      </c>
      <c r="T36" s="560">
        <f t="shared" si="7"/>
        <v>146</v>
      </c>
      <c r="U36" s="561">
        <f t="shared" si="7"/>
        <v>0</v>
      </c>
      <c r="V36" s="559">
        <f t="shared" si="7"/>
        <v>0</v>
      </c>
      <c r="W36" s="559">
        <f t="shared" si="7"/>
        <v>0</v>
      </c>
      <c r="X36" s="560">
        <f t="shared" si="7"/>
        <v>0</v>
      </c>
      <c r="Y36" s="559">
        <f t="shared" si="7"/>
        <v>0</v>
      </c>
      <c r="Z36" s="559">
        <f t="shared" si="7"/>
        <v>401</v>
      </c>
      <c r="AA36" s="559">
        <f t="shared" si="7"/>
        <v>22</v>
      </c>
      <c r="AB36" s="560">
        <f t="shared" si="7"/>
        <v>0</v>
      </c>
      <c r="AC36" s="559">
        <f t="shared" si="7"/>
        <v>43463</v>
      </c>
      <c r="AD36" s="559">
        <f t="shared" si="7"/>
        <v>35982</v>
      </c>
      <c r="AE36" s="559">
        <f t="shared" si="7"/>
        <v>35664</v>
      </c>
      <c r="AF36" s="560">
        <f t="shared" si="7"/>
        <v>36067</v>
      </c>
    </row>
    <row r="37" spans="1:32" ht="18" customHeight="1">
      <c r="A37" s="8"/>
      <c r="B37" s="562"/>
      <c r="C37" s="562"/>
      <c r="D37" s="562"/>
      <c r="E37" s="562"/>
      <c r="F37" s="562"/>
      <c r="G37" s="562"/>
      <c r="H37" s="562"/>
      <c r="I37" s="562"/>
      <c r="J37" s="562"/>
      <c r="K37" s="562"/>
      <c r="L37" s="562"/>
      <c r="M37" s="562"/>
      <c r="N37" s="562"/>
      <c r="O37" s="562"/>
      <c r="P37" s="562"/>
      <c r="Q37" s="562"/>
      <c r="R37" s="562"/>
      <c r="S37" s="562"/>
      <c r="T37" s="562"/>
      <c r="U37" s="562"/>
      <c r="V37" s="562"/>
      <c r="W37" s="562"/>
      <c r="X37" s="562"/>
      <c r="Y37" s="562"/>
      <c r="Z37" s="562"/>
      <c r="AA37" s="562"/>
      <c r="AB37" s="562"/>
      <c r="AC37" s="562"/>
      <c r="AD37" s="562"/>
      <c r="AE37" s="562"/>
      <c r="AF37" s="562"/>
    </row>
    <row r="38" spans="1:32" ht="18" customHeight="1">
      <c r="A38" s="519" t="s">
        <v>1088</v>
      </c>
      <c r="B38" s="562"/>
      <c r="C38" s="562"/>
      <c r="D38" s="562"/>
      <c r="E38" s="562"/>
      <c r="F38" s="559"/>
      <c r="G38" s="562"/>
      <c r="H38" s="562"/>
      <c r="I38" s="562"/>
      <c r="J38" s="562"/>
      <c r="K38" s="562"/>
      <c r="L38" s="562"/>
      <c r="M38" s="562"/>
      <c r="N38" s="562"/>
      <c r="O38" s="562"/>
      <c r="P38" s="562"/>
      <c r="Q38" s="562"/>
      <c r="R38" s="562"/>
      <c r="S38" s="562"/>
      <c r="T38" s="562"/>
      <c r="U38" s="562"/>
      <c r="V38" s="562"/>
      <c r="W38" s="562"/>
      <c r="X38" s="562"/>
      <c r="Y38" s="562"/>
      <c r="Z38" s="562"/>
      <c r="AA38" s="562"/>
      <c r="AB38" s="562"/>
      <c r="AC38" s="562"/>
      <c r="AD38" s="562"/>
      <c r="AE38" s="562"/>
      <c r="AF38" s="562"/>
    </row>
    <row r="39" spans="1:32" ht="18" customHeight="1">
      <c r="A39" s="346" t="s">
        <v>1089</v>
      </c>
      <c r="B39" s="564">
        <v>77</v>
      </c>
      <c r="C39" s="564">
        <v>101</v>
      </c>
      <c r="D39" s="564">
        <v>58</v>
      </c>
      <c r="E39" s="565">
        <v>115</v>
      </c>
      <c r="F39" s="564">
        <v>1202</v>
      </c>
      <c r="G39" s="564">
        <v>2252</v>
      </c>
      <c r="H39" s="564">
        <v>2559</v>
      </c>
      <c r="I39" s="564">
        <v>2523</v>
      </c>
      <c r="J39" s="563"/>
      <c r="K39" s="564"/>
      <c r="L39" s="564"/>
      <c r="M39" s="565"/>
      <c r="N39" s="564">
        <v>228</v>
      </c>
      <c r="O39" s="564"/>
      <c r="P39" s="564"/>
      <c r="Q39" s="564"/>
      <c r="R39" s="563"/>
      <c r="S39" s="564"/>
      <c r="T39" s="565"/>
      <c r="U39" s="563"/>
      <c r="V39" s="564"/>
      <c r="W39" s="564"/>
      <c r="X39" s="565"/>
      <c r="Y39" s="564"/>
      <c r="Z39" s="564"/>
      <c r="AA39" s="564"/>
      <c r="AB39" s="565"/>
      <c r="AC39" s="564">
        <f t="shared" ref="AC39:AF40" si="8">+N39+J39+F39+B39</f>
        <v>1507</v>
      </c>
      <c r="AD39" s="564">
        <f t="shared" si="8"/>
        <v>2353</v>
      </c>
      <c r="AE39" s="564">
        <f t="shared" si="8"/>
        <v>2617</v>
      </c>
      <c r="AF39" s="565">
        <f t="shared" si="8"/>
        <v>2638</v>
      </c>
    </row>
    <row r="40" spans="1:32" ht="18" customHeight="1">
      <c r="A40" s="95" t="s">
        <v>1090</v>
      </c>
      <c r="B40" s="556">
        <v>134</v>
      </c>
      <c r="C40" s="556">
        <v>202</v>
      </c>
      <c r="D40" s="556">
        <v>0</v>
      </c>
      <c r="E40" s="541">
        <v>0</v>
      </c>
      <c r="F40" s="556">
        <v>56</v>
      </c>
      <c r="G40" s="556">
        <v>63</v>
      </c>
      <c r="H40" s="556">
        <v>4</v>
      </c>
      <c r="I40" s="556">
        <v>4</v>
      </c>
      <c r="J40" s="557"/>
      <c r="K40" s="556"/>
      <c r="L40" s="556"/>
      <c r="M40" s="541"/>
      <c r="N40" s="556"/>
      <c r="O40" s="556"/>
      <c r="P40" s="556"/>
      <c r="Q40" s="556"/>
      <c r="R40" s="557"/>
      <c r="S40" s="556"/>
      <c r="T40" s="541"/>
      <c r="U40" s="557"/>
      <c r="V40" s="556"/>
      <c r="W40" s="556"/>
      <c r="X40" s="541"/>
      <c r="Y40" s="556"/>
      <c r="Z40" s="556"/>
      <c r="AA40" s="556"/>
      <c r="AB40" s="541"/>
      <c r="AC40" s="556">
        <f t="shared" si="8"/>
        <v>190</v>
      </c>
      <c r="AD40" s="556">
        <f t="shared" si="8"/>
        <v>265</v>
      </c>
      <c r="AE40" s="556">
        <f t="shared" si="8"/>
        <v>4</v>
      </c>
      <c r="AF40" s="541">
        <f t="shared" si="8"/>
        <v>4</v>
      </c>
    </row>
    <row r="41" spans="1:32" ht="18" customHeight="1">
      <c r="A41" s="95" t="s">
        <v>1091</v>
      </c>
      <c r="B41" s="556">
        <v>296</v>
      </c>
      <c r="C41" s="556">
        <v>414</v>
      </c>
      <c r="D41" s="556">
        <v>332</v>
      </c>
      <c r="E41" s="541">
        <v>434</v>
      </c>
      <c r="F41" s="556">
        <v>621</v>
      </c>
      <c r="G41" s="556">
        <v>599</v>
      </c>
      <c r="H41" s="556">
        <v>480</v>
      </c>
      <c r="I41" s="556">
        <v>462</v>
      </c>
      <c r="J41" s="557"/>
      <c r="K41" s="556"/>
      <c r="L41" s="556"/>
      <c r="M41" s="541"/>
      <c r="N41" s="556"/>
      <c r="O41" s="556"/>
      <c r="P41" s="556"/>
      <c r="Q41" s="556"/>
      <c r="R41" s="557"/>
      <c r="S41" s="556"/>
      <c r="T41" s="541"/>
      <c r="U41" s="557"/>
      <c r="V41" s="556"/>
      <c r="W41" s="556"/>
      <c r="X41" s="541"/>
      <c r="Y41" s="556"/>
      <c r="Z41" s="556"/>
      <c r="AA41" s="556"/>
      <c r="AB41" s="541"/>
      <c r="AC41" s="556">
        <f t="shared" ref="AC41:AF42" si="9">+N41+J41+F41+B41</f>
        <v>917</v>
      </c>
      <c r="AD41" s="556">
        <f t="shared" si="9"/>
        <v>1013</v>
      </c>
      <c r="AE41" s="556">
        <f t="shared" si="9"/>
        <v>812</v>
      </c>
      <c r="AF41" s="541">
        <f t="shared" si="9"/>
        <v>896</v>
      </c>
    </row>
    <row r="42" spans="1:32" ht="18" customHeight="1">
      <c r="A42" s="95" t="s">
        <v>1092</v>
      </c>
      <c r="B42" s="556">
        <v>143</v>
      </c>
      <c r="C42" s="556">
        <v>166</v>
      </c>
      <c r="D42" s="556">
        <v>232</v>
      </c>
      <c r="E42" s="541">
        <v>176</v>
      </c>
      <c r="F42" s="556">
        <v>338</v>
      </c>
      <c r="G42" s="556">
        <v>177</v>
      </c>
      <c r="H42" s="556">
        <v>244</v>
      </c>
      <c r="I42" s="556">
        <v>412</v>
      </c>
      <c r="J42" s="557"/>
      <c r="K42" s="556"/>
      <c r="L42" s="556"/>
      <c r="M42" s="541"/>
      <c r="N42" s="556"/>
      <c r="O42" s="556"/>
      <c r="P42" s="556"/>
      <c r="Q42" s="556"/>
      <c r="R42" s="557"/>
      <c r="S42" s="556"/>
      <c r="T42" s="541"/>
      <c r="U42" s="557"/>
      <c r="V42" s="556"/>
      <c r="W42" s="556"/>
      <c r="X42" s="541"/>
      <c r="Y42" s="556"/>
      <c r="Z42" s="556"/>
      <c r="AA42" s="556"/>
      <c r="AB42" s="541"/>
      <c r="AC42" s="556">
        <f t="shared" si="9"/>
        <v>481</v>
      </c>
      <c r="AD42" s="556">
        <f t="shared" si="9"/>
        <v>343</v>
      </c>
      <c r="AE42" s="556">
        <f t="shared" si="9"/>
        <v>476</v>
      </c>
      <c r="AF42" s="541">
        <f t="shared" si="9"/>
        <v>588</v>
      </c>
    </row>
    <row r="43" spans="1:32" ht="18" customHeight="1">
      <c r="A43" s="95" t="s">
        <v>1093</v>
      </c>
      <c r="B43" s="556">
        <v>245</v>
      </c>
      <c r="C43" s="556">
        <v>317</v>
      </c>
      <c r="D43" s="556">
        <v>320</v>
      </c>
      <c r="E43" s="541">
        <v>441</v>
      </c>
      <c r="F43" s="556">
        <v>0</v>
      </c>
      <c r="G43" s="556">
        <v>0</v>
      </c>
      <c r="H43" s="556">
        <v>0</v>
      </c>
      <c r="I43" s="556"/>
      <c r="J43" s="557"/>
      <c r="K43" s="556"/>
      <c r="L43" s="556"/>
      <c r="M43" s="541"/>
      <c r="N43" s="556"/>
      <c r="O43" s="556"/>
      <c r="P43" s="556"/>
      <c r="Q43" s="556"/>
      <c r="R43" s="557"/>
      <c r="S43" s="556"/>
      <c r="T43" s="541"/>
      <c r="U43" s="557"/>
      <c r="V43" s="556"/>
      <c r="W43" s="556"/>
      <c r="X43" s="541"/>
      <c r="Y43" s="556"/>
      <c r="Z43" s="556"/>
      <c r="AA43" s="556"/>
      <c r="AB43" s="541"/>
      <c r="AC43" s="556">
        <f t="shared" ref="AC43:AF45" si="10">+N43+J43+F43+B43</f>
        <v>245</v>
      </c>
      <c r="AD43" s="556">
        <f t="shared" si="10"/>
        <v>317</v>
      </c>
      <c r="AE43" s="556">
        <f t="shared" si="10"/>
        <v>320</v>
      </c>
      <c r="AF43" s="541">
        <f t="shared" si="10"/>
        <v>441</v>
      </c>
    </row>
    <row r="44" spans="1:32" ht="18" customHeight="1">
      <c r="A44" s="540" t="s">
        <v>1094</v>
      </c>
      <c r="B44" s="556">
        <v>4191</v>
      </c>
      <c r="C44" s="556">
        <v>3649</v>
      </c>
      <c r="D44" s="556">
        <v>4573</v>
      </c>
      <c r="E44" s="541">
        <v>3985</v>
      </c>
      <c r="F44" s="556">
        <v>3657</v>
      </c>
      <c r="G44" s="556">
        <v>3628</v>
      </c>
      <c r="H44" s="556">
        <v>3016</v>
      </c>
      <c r="I44" s="556">
        <v>3250</v>
      </c>
      <c r="J44" s="557"/>
      <c r="K44" s="556"/>
      <c r="L44" s="556"/>
      <c r="M44" s="541"/>
      <c r="N44" s="556"/>
      <c r="O44" s="556"/>
      <c r="P44" s="556"/>
      <c r="Q44" s="556"/>
      <c r="R44" s="557"/>
      <c r="S44" s="556"/>
      <c r="T44" s="541"/>
      <c r="U44" s="557"/>
      <c r="V44" s="556"/>
      <c r="W44" s="556"/>
      <c r="X44" s="541"/>
      <c r="Y44" s="556"/>
      <c r="Z44" s="556"/>
      <c r="AA44" s="556"/>
      <c r="AB44" s="541"/>
      <c r="AC44" s="556">
        <f t="shared" si="10"/>
        <v>7848</v>
      </c>
      <c r="AD44" s="556">
        <f t="shared" si="10"/>
        <v>7277</v>
      </c>
      <c r="AE44" s="556">
        <f t="shared" si="10"/>
        <v>7589</v>
      </c>
      <c r="AF44" s="541">
        <f t="shared" si="10"/>
        <v>7235</v>
      </c>
    </row>
    <row r="45" spans="1:32" ht="18" customHeight="1">
      <c r="A45" s="540" t="s">
        <v>1095</v>
      </c>
      <c r="B45" s="378">
        <v>369</v>
      </c>
      <c r="C45" s="378">
        <v>607</v>
      </c>
      <c r="D45" s="378">
        <v>304</v>
      </c>
      <c r="E45" s="500">
        <v>15</v>
      </c>
      <c r="F45" s="378">
        <v>0</v>
      </c>
      <c r="G45" s="378">
        <v>0</v>
      </c>
      <c r="H45" s="378">
        <v>0</v>
      </c>
      <c r="I45" s="378"/>
      <c r="J45" s="377"/>
      <c r="K45" s="378"/>
      <c r="L45" s="378"/>
      <c r="M45" s="500"/>
      <c r="N45" s="378">
        <v>312</v>
      </c>
      <c r="O45" s="378"/>
      <c r="P45" s="378"/>
      <c r="Q45" s="378"/>
      <c r="R45" s="377"/>
      <c r="S45" s="378"/>
      <c r="T45" s="500"/>
      <c r="U45" s="377"/>
      <c r="V45" s="378"/>
      <c r="W45" s="378"/>
      <c r="X45" s="500"/>
      <c r="Y45" s="378"/>
      <c r="Z45" s="378"/>
      <c r="AA45" s="378"/>
      <c r="AB45" s="500"/>
      <c r="AC45" s="556">
        <f t="shared" si="10"/>
        <v>681</v>
      </c>
      <c r="AD45" s="556">
        <f t="shared" si="10"/>
        <v>607</v>
      </c>
      <c r="AE45" s="556">
        <f t="shared" si="10"/>
        <v>304</v>
      </c>
      <c r="AF45" s="500">
        <f t="shared" si="10"/>
        <v>15</v>
      </c>
    </row>
    <row r="46" spans="1:32" ht="18" customHeight="1">
      <c r="A46" s="95" t="str">
        <f>+'60'!A46</f>
        <v xml:space="preserve"> TECNOLOGO  MEDICO</v>
      </c>
      <c r="B46" s="556">
        <v>5023</v>
      </c>
      <c r="C46" s="556">
        <v>4506</v>
      </c>
      <c r="D46" s="556">
        <v>5438</v>
      </c>
      <c r="E46" s="541">
        <v>3376</v>
      </c>
      <c r="F46" s="556">
        <v>0</v>
      </c>
      <c r="G46" s="556">
        <v>0</v>
      </c>
      <c r="H46" s="556">
        <v>0</v>
      </c>
      <c r="I46" s="556"/>
      <c r="J46" s="557"/>
      <c r="K46" s="556"/>
      <c r="L46" s="556"/>
      <c r="M46" s="541"/>
      <c r="N46" s="556"/>
      <c r="O46" s="556"/>
      <c r="P46" s="556"/>
      <c r="Q46" s="556"/>
      <c r="R46" s="557"/>
      <c r="S46" s="556"/>
      <c r="T46" s="541"/>
      <c r="U46" s="557"/>
      <c r="V46" s="556"/>
      <c r="W46" s="556"/>
      <c r="X46" s="541"/>
      <c r="Y46" s="556"/>
      <c r="Z46" s="556"/>
      <c r="AA46" s="556"/>
      <c r="AB46" s="541"/>
      <c r="AC46" s="556">
        <f t="shared" ref="AC46:AF47" si="11">+N46+J46+F46+B46</f>
        <v>5023</v>
      </c>
      <c r="AD46" s="556">
        <f t="shared" si="11"/>
        <v>4506</v>
      </c>
      <c r="AE46" s="556">
        <f t="shared" si="11"/>
        <v>5438</v>
      </c>
      <c r="AF46" s="500">
        <f t="shared" si="11"/>
        <v>3376</v>
      </c>
    </row>
    <row r="47" spans="1:32" ht="18" customHeight="1">
      <c r="A47" s="15" t="s">
        <v>1097</v>
      </c>
      <c r="B47" s="559">
        <v>1289</v>
      </c>
      <c r="C47" s="559">
        <v>1287</v>
      </c>
      <c r="D47" s="559">
        <v>1803</v>
      </c>
      <c r="E47" s="560">
        <v>1763</v>
      </c>
      <c r="F47" s="559">
        <v>505</v>
      </c>
      <c r="G47" s="559">
        <v>473</v>
      </c>
      <c r="H47" s="559">
        <v>663</v>
      </c>
      <c r="I47" s="559">
        <v>666</v>
      </c>
      <c r="J47" s="561"/>
      <c r="K47" s="559"/>
      <c r="L47" s="559"/>
      <c r="M47" s="560"/>
      <c r="N47" s="559">
        <v>395</v>
      </c>
      <c r="O47" s="559">
        <v>18</v>
      </c>
      <c r="P47" s="559">
        <v>7</v>
      </c>
      <c r="Q47" s="559">
        <v>1</v>
      </c>
      <c r="R47" s="561">
        <v>64</v>
      </c>
      <c r="S47" s="559">
        <v>46</v>
      </c>
      <c r="T47" s="560">
        <v>4</v>
      </c>
      <c r="U47" s="561"/>
      <c r="V47" s="559"/>
      <c r="W47" s="559"/>
      <c r="X47" s="560"/>
      <c r="Y47" s="559"/>
      <c r="Z47" s="559"/>
      <c r="AA47" s="559"/>
      <c r="AB47" s="560"/>
      <c r="AC47" s="559">
        <f t="shared" si="11"/>
        <v>2189</v>
      </c>
      <c r="AD47" s="559">
        <f>+O47+K47+G47+C47+R47</f>
        <v>1842</v>
      </c>
      <c r="AE47" s="559">
        <f>+P47+L47+H47+D47+S47</f>
        <v>2519</v>
      </c>
      <c r="AF47" s="560">
        <f>+Q47+M47+I47+E47+T47</f>
        <v>2434</v>
      </c>
    </row>
    <row r="48" spans="1:32">
      <c r="B48" s="562"/>
      <c r="C48" s="562"/>
      <c r="D48" s="562"/>
      <c r="E48" s="562"/>
      <c r="F48" s="562"/>
      <c r="G48" s="562"/>
      <c r="H48" s="562"/>
      <c r="I48" s="562"/>
      <c r="J48" s="562"/>
      <c r="K48" s="562"/>
      <c r="L48" s="562"/>
      <c r="M48" s="562"/>
      <c r="N48" s="562"/>
      <c r="O48" s="562"/>
      <c r="P48" s="562"/>
      <c r="Q48" s="562"/>
      <c r="R48" s="562"/>
      <c r="S48" s="562"/>
      <c r="T48" s="562"/>
      <c r="U48" s="562"/>
      <c r="V48" s="562"/>
      <c r="W48" s="562"/>
      <c r="X48" s="562"/>
      <c r="Y48" s="562"/>
      <c r="Z48" s="562"/>
      <c r="AA48" s="562"/>
      <c r="AB48" s="562"/>
      <c r="AC48" s="562"/>
      <c r="AD48" s="562"/>
      <c r="AE48" s="562"/>
      <c r="AF48" s="562"/>
    </row>
    <row r="49" spans="2:32">
      <c r="B49" s="562"/>
      <c r="C49" s="562"/>
      <c r="D49" s="562"/>
      <c r="E49" s="562"/>
      <c r="F49" s="562"/>
      <c r="G49" s="562"/>
      <c r="H49" s="562"/>
      <c r="I49" s="562"/>
      <c r="J49" s="562"/>
      <c r="K49" s="562"/>
      <c r="L49" s="562"/>
      <c r="M49" s="562"/>
      <c r="N49" s="562"/>
      <c r="O49" s="562"/>
      <c r="P49" s="562"/>
      <c r="Q49" s="562"/>
      <c r="R49" s="562"/>
      <c r="S49" s="562"/>
      <c r="T49" s="562"/>
      <c r="U49" s="562"/>
      <c r="V49" s="562"/>
      <c r="W49" s="562"/>
      <c r="X49" s="562"/>
      <c r="Y49" s="562"/>
      <c r="Z49" s="562"/>
      <c r="AA49" s="562"/>
      <c r="AB49" s="562"/>
      <c r="AC49" s="562"/>
      <c r="AD49" s="562"/>
      <c r="AE49" s="562"/>
      <c r="AF49" s="562"/>
    </row>
    <row r="50" spans="2:32">
      <c r="B50" s="562"/>
      <c r="C50" s="562"/>
      <c r="D50" s="562"/>
      <c r="E50" s="562"/>
      <c r="F50" s="562"/>
      <c r="G50" s="562"/>
      <c r="H50" s="562"/>
      <c r="I50" s="562"/>
      <c r="J50" s="562"/>
      <c r="K50" s="562"/>
      <c r="L50" s="562"/>
      <c r="M50" s="562"/>
      <c r="N50" s="562"/>
      <c r="O50" s="562"/>
      <c r="P50" s="562"/>
      <c r="Q50" s="562"/>
      <c r="R50" s="562"/>
      <c r="S50" s="562"/>
      <c r="T50" s="562"/>
      <c r="U50" s="562"/>
      <c r="V50" s="562"/>
      <c r="W50" s="562"/>
      <c r="X50" s="562"/>
      <c r="Y50" s="562"/>
      <c r="Z50" s="562"/>
      <c r="AA50" s="562"/>
      <c r="AB50" s="562"/>
      <c r="AC50" s="562"/>
      <c r="AD50" s="562"/>
      <c r="AE50" s="562"/>
      <c r="AF50" s="562"/>
    </row>
    <row r="51" spans="2:32">
      <c r="B51" s="562"/>
      <c r="C51" s="562"/>
      <c r="D51" s="562"/>
      <c r="E51" s="562"/>
      <c r="F51" s="562"/>
      <c r="G51" s="562"/>
      <c r="H51" s="562"/>
      <c r="I51" s="562"/>
      <c r="J51" s="562"/>
      <c r="K51" s="562"/>
      <c r="L51" s="562"/>
      <c r="M51" s="562"/>
      <c r="N51" s="562"/>
      <c r="O51" s="562"/>
      <c r="P51" s="562"/>
      <c r="Q51" s="562"/>
      <c r="R51" s="562"/>
      <c r="S51" s="562"/>
      <c r="T51" s="562"/>
      <c r="U51" s="562"/>
      <c r="V51" s="562"/>
      <c r="W51" s="562"/>
      <c r="X51" s="562"/>
      <c r="Y51" s="562"/>
      <c r="Z51" s="562"/>
      <c r="AA51" s="562"/>
      <c r="AB51" s="562"/>
      <c r="AC51" s="562"/>
      <c r="AD51" s="562"/>
      <c r="AE51" s="562"/>
      <c r="AF51" s="562"/>
    </row>
    <row r="52" spans="2:32">
      <c r="B52" s="562"/>
      <c r="C52" s="562"/>
      <c r="D52" s="562"/>
      <c r="E52" s="562"/>
      <c r="F52" s="562"/>
      <c r="G52" s="562"/>
      <c r="H52" s="562"/>
      <c r="I52" s="562"/>
      <c r="J52" s="562"/>
      <c r="K52" s="562"/>
      <c r="L52" s="562"/>
      <c r="M52" s="562"/>
      <c r="N52" s="562"/>
      <c r="O52" s="562"/>
      <c r="P52" s="562"/>
      <c r="Q52" s="562"/>
      <c r="R52" s="562"/>
      <c r="S52" s="562"/>
      <c r="T52" s="562"/>
      <c r="U52" s="562"/>
      <c r="V52" s="562"/>
      <c r="W52" s="562"/>
      <c r="X52" s="562"/>
      <c r="Y52" s="562"/>
      <c r="Z52" s="562"/>
      <c r="AA52" s="562"/>
      <c r="AB52" s="562"/>
      <c r="AC52" s="562"/>
      <c r="AD52" s="562"/>
      <c r="AE52" s="562"/>
      <c r="AF52" s="562"/>
    </row>
    <row r="53" spans="2:32">
      <c r="B53" s="562"/>
      <c r="C53" s="562"/>
      <c r="D53" s="562"/>
      <c r="E53" s="562"/>
      <c r="F53" s="562"/>
      <c r="G53" s="562"/>
      <c r="H53" s="562"/>
      <c r="I53" s="562"/>
      <c r="J53" s="562"/>
      <c r="K53" s="562"/>
      <c r="L53" s="562"/>
      <c r="M53" s="562"/>
      <c r="N53" s="562"/>
      <c r="O53" s="562"/>
      <c r="P53" s="562"/>
      <c r="Q53" s="562"/>
      <c r="R53" s="562"/>
      <c r="S53" s="562"/>
      <c r="T53" s="562"/>
      <c r="U53" s="562"/>
      <c r="V53" s="562"/>
      <c r="W53" s="562"/>
      <c r="X53" s="562"/>
      <c r="Y53" s="562"/>
      <c r="Z53" s="562"/>
      <c r="AA53" s="562"/>
      <c r="AB53" s="562"/>
      <c r="AC53" s="562"/>
      <c r="AD53" s="562"/>
      <c r="AE53" s="562"/>
      <c r="AF53" s="562"/>
    </row>
    <row r="54" spans="2:32">
      <c r="B54" s="562"/>
      <c r="C54" s="562"/>
      <c r="D54" s="562"/>
      <c r="E54" s="562"/>
      <c r="F54" s="562"/>
      <c r="G54" s="562"/>
      <c r="H54" s="562"/>
      <c r="I54" s="562"/>
      <c r="J54" s="562"/>
      <c r="K54" s="562"/>
      <c r="L54" s="562"/>
      <c r="M54" s="562"/>
      <c r="N54" s="562"/>
      <c r="O54" s="562"/>
      <c r="P54" s="562"/>
      <c r="Q54" s="562"/>
      <c r="R54" s="562"/>
      <c r="S54" s="562"/>
      <c r="T54" s="562"/>
      <c r="U54" s="562"/>
      <c r="V54" s="562"/>
      <c r="W54" s="562"/>
      <c r="X54" s="562"/>
      <c r="Y54" s="562"/>
      <c r="Z54" s="562"/>
      <c r="AA54" s="562"/>
      <c r="AB54" s="562"/>
      <c r="AC54" s="562"/>
      <c r="AD54" s="562"/>
      <c r="AE54" s="562"/>
      <c r="AF54" s="562"/>
    </row>
    <row r="55" spans="2:32">
      <c r="B55" s="562"/>
      <c r="C55" s="562"/>
      <c r="D55" s="562"/>
      <c r="E55" s="562"/>
      <c r="F55" s="562"/>
      <c r="G55" s="562"/>
      <c r="H55" s="562"/>
      <c r="I55" s="562"/>
      <c r="J55" s="562"/>
      <c r="K55" s="562"/>
      <c r="L55" s="562"/>
      <c r="M55" s="562"/>
      <c r="N55" s="562"/>
      <c r="O55" s="562"/>
      <c r="P55" s="562"/>
      <c r="Q55" s="562"/>
      <c r="R55" s="562"/>
      <c r="S55" s="562"/>
      <c r="T55" s="562"/>
      <c r="U55" s="562"/>
      <c r="V55" s="562"/>
      <c r="W55" s="562"/>
      <c r="X55" s="562"/>
      <c r="Y55" s="562"/>
      <c r="Z55" s="562"/>
      <c r="AA55" s="562"/>
      <c r="AB55" s="562"/>
      <c r="AC55" s="562"/>
      <c r="AD55" s="562"/>
      <c r="AE55" s="562"/>
      <c r="AF55" s="562"/>
    </row>
    <row r="56" spans="2:32">
      <c r="B56" s="562"/>
      <c r="C56" s="562"/>
      <c r="D56" s="562"/>
      <c r="E56" s="562"/>
      <c r="F56" s="562"/>
      <c r="G56" s="562"/>
      <c r="H56" s="562"/>
      <c r="I56" s="562"/>
      <c r="J56" s="562"/>
      <c r="K56" s="562"/>
      <c r="L56" s="562"/>
      <c r="M56" s="562"/>
      <c r="N56" s="562"/>
      <c r="O56" s="562"/>
      <c r="P56" s="562"/>
      <c r="Q56" s="562"/>
      <c r="R56" s="562"/>
      <c r="S56" s="562"/>
      <c r="T56" s="562"/>
      <c r="U56" s="562"/>
      <c r="V56" s="562"/>
      <c r="W56" s="562"/>
      <c r="X56" s="562"/>
      <c r="Y56" s="562"/>
      <c r="Z56" s="562"/>
      <c r="AA56" s="562"/>
      <c r="AB56" s="562"/>
      <c r="AC56" s="562"/>
      <c r="AD56" s="562"/>
      <c r="AE56" s="562"/>
      <c r="AF56" s="562"/>
    </row>
    <row r="57" spans="2:32">
      <c r="B57" s="562"/>
      <c r="C57" s="562"/>
      <c r="D57" s="562"/>
      <c r="E57" s="562"/>
      <c r="F57" s="562"/>
      <c r="G57" s="562"/>
      <c r="H57" s="562"/>
      <c r="I57" s="562"/>
      <c r="J57" s="562"/>
      <c r="K57" s="562"/>
      <c r="L57" s="562"/>
      <c r="M57" s="562"/>
      <c r="N57" s="562"/>
      <c r="O57" s="562"/>
      <c r="P57" s="562"/>
      <c r="Q57" s="562"/>
      <c r="R57" s="562"/>
      <c r="S57" s="562"/>
      <c r="T57" s="562"/>
      <c r="U57" s="562"/>
      <c r="V57" s="562"/>
      <c r="W57" s="562"/>
      <c r="X57" s="562"/>
      <c r="Y57" s="562"/>
      <c r="Z57" s="562"/>
      <c r="AA57" s="562"/>
      <c r="AB57" s="562"/>
      <c r="AC57" s="562"/>
      <c r="AD57" s="562"/>
      <c r="AE57" s="562"/>
      <c r="AF57" s="562"/>
    </row>
    <row r="58" spans="2:32">
      <c r="B58" s="562"/>
      <c r="C58" s="562"/>
      <c r="D58" s="562"/>
      <c r="E58" s="562"/>
      <c r="F58" s="562"/>
      <c r="G58" s="562"/>
      <c r="H58" s="562"/>
      <c r="I58" s="562"/>
      <c r="J58" s="562"/>
      <c r="K58" s="562"/>
      <c r="L58" s="562"/>
      <c r="M58" s="562"/>
      <c r="N58" s="562"/>
      <c r="O58" s="562"/>
      <c r="P58" s="562"/>
      <c r="Q58" s="562"/>
      <c r="R58" s="562"/>
      <c r="S58" s="562"/>
      <c r="T58" s="562"/>
      <c r="U58" s="562"/>
      <c r="V58" s="562"/>
      <c r="W58" s="562"/>
      <c r="X58" s="562"/>
      <c r="Y58" s="562"/>
      <c r="Z58" s="562"/>
      <c r="AA58" s="562"/>
      <c r="AB58" s="562"/>
      <c r="AC58" s="562"/>
      <c r="AD58" s="562"/>
      <c r="AE58" s="562"/>
      <c r="AF58" s="562"/>
    </row>
    <row r="59" spans="2:32">
      <c r="B59" s="562"/>
      <c r="C59" s="562"/>
      <c r="D59" s="562"/>
      <c r="E59" s="562"/>
      <c r="F59" s="562"/>
      <c r="G59" s="562"/>
      <c r="H59" s="562"/>
      <c r="I59" s="562"/>
      <c r="J59" s="562"/>
      <c r="K59" s="562"/>
      <c r="L59" s="562"/>
      <c r="M59" s="562"/>
      <c r="N59" s="562"/>
      <c r="O59" s="562"/>
      <c r="P59" s="562"/>
      <c r="Q59" s="562"/>
      <c r="R59" s="562"/>
      <c r="S59" s="562"/>
      <c r="T59" s="562"/>
      <c r="U59" s="562"/>
      <c r="V59" s="562"/>
      <c r="W59" s="562"/>
      <c r="X59" s="562"/>
      <c r="Y59" s="562"/>
      <c r="Z59" s="562"/>
      <c r="AA59" s="562"/>
      <c r="AB59" s="562"/>
      <c r="AC59" s="562"/>
      <c r="AD59" s="562"/>
      <c r="AE59" s="562"/>
      <c r="AF59" s="562"/>
    </row>
    <row r="60" spans="2:32">
      <c r="B60" s="562"/>
      <c r="C60" s="562"/>
      <c r="D60" s="562"/>
      <c r="E60" s="562"/>
      <c r="F60" s="562"/>
      <c r="G60" s="562"/>
      <c r="H60" s="562"/>
      <c r="I60" s="562"/>
      <c r="J60" s="562"/>
      <c r="K60" s="562"/>
      <c r="L60" s="562"/>
      <c r="M60" s="562"/>
      <c r="N60" s="562"/>
      <c r="O60" s="562"/>
      <c r="P60" s="562"/>
      <c r="Q60" s="562"/>
      <c r="R60" s="562"/>
      <c r="S60" s="562"/>
      <c r="T60" s="562"/>
      <c r="U60" s="562"/>
      <c r="V60" s="562"/>
      <c r="W60" s="562"/>
      <c r="X60" s="562"/>
      <c r="Y60" s="562"/>
      <c r="Z60" s="562"/>
      <c r="AA60" s="562"/>
      <c r="AB60" s="562"/>
      <c r="AC60" s="562"/>
      <c r="AD60" s="562"/>
      <c r="AE60" s="562"/>
      <c r="AF60" s="562"/>
    </row>
    <row r="61" spans="2:32">
      <c r="B61" s="562"/>
      <c r="C61" s="562"/>
      <c r="D61" s="562"/>
      <c r="E61" s="562"/>
      <c r="F61" s="562"/>
      <c r="G61" s="562"/>
      <c r="H61" s="562"/>
      <c r="I61" s="562"/>
      <c r="J61" s="562"/>
      <c r="K61" s="562"/>
      <c r="L61" s="562"/>
      <c r="M61" s="562"/>
      <c r="N61" s="562"/>
      <c r="O61" s="562"/>
      <c r="P61" s="562"/>
      <c r="Q61" s="562"/>
      <c r="R61" s="562"/>
      <c r="S61" s="562"/>
      <c r="T61" s="562"/>
      <c r="U61" s="562"/>
      <c r="V61" s="562"/>
      <c r="W61" s="562"/>
      <c r="X61" s="562"/>
      <c r="Y61" s="562"/>
      <c r="Z61" s="562"/>
      <c r="AA61" s="562"/>
      <c r="AB61" s="562"/>
      <c r="AC61" s="562"/>
      <c r="AD61" s="562"/>
      <c r="AE61" s="562"/>
      <c r="AF61" s="562"/>
    </row>
    <row r="62" spans="2:32">
      <c r="B62" s="562"/>
      <c r="C62" s="562"/>
      <c r="D62" s="562"/>
      <c r="E62" s="562"/>
      <c r="F62" s="562"/>
      <c r="G62" s="562"/>
      <c r="H62" s="562"/>
      <c r="I62" s="562"/>
      <c r="J62" s="562"/>
      <c r="K62" s="562"/>
      <c r="L62" s="562"/>
      <c r="M62" s="562"/>
      <c r="N62" s="562"/>
      <c r="O62" s="562"/>
      <c r="P62" s="562"/>
      <c r="Q62" s="562"/>
      <c r="R62" s="562"/>
      <c r="S62" s="562"/>
      <c r="T62" s="562"/>
      <c r="U62" s="562"/>
      <c r="V62" s="562"/>
      <c r="W62" s="562"/>
      <c r="X62" s="562"/>
      <c r="Y62" s="562"/>
      <c r="Z62" s="562"/>
      <c r="AA62" s="562"/>
      <c r="AB62" s="562"/>
      <c r="AC62" s="562"/>
      <c r="AD62" s="562"/>
      <c r="AE62" s="562"/>
      <c r="AF62" s="562"/>
    </row>
    <row r="63" spans="2:32">
      <c r="B63" s="562"/>
      <c r="C63" s="562"/>
      <c r="D63" s="562"/>
      <c r="E63" s="562"/>
      <c r="F63" s="562"/>
      <c r="G63" s="562"/>
      <c r="H63" s="562"/>
      <c r="I63" s="562"/>
      <c r="J63" s="562"/>
      <c r="K63" s="562"/>
      <c r="L63" s="562"/>
      <c r="M63" s="562"/>
      <c r="N63" s="562"/>
      <c r="O63" s="562"/>
      <c r="P63" s="562"/>
      <c r="Q63" s="562"/>
      <c r="R63" s="562"/>
      <c r="S63" s="562"/>
      <c r="T63" s="562"/>
      <c r="U63" s="562"/>
      <c r="V63" s="562"/>
      <c r="W63" s="562"/>
      <c r="X63" s="562"/>
      <c r="Y63" s="562"/>
      <c r="Z63" s="562"/>
      <c r="AA63" s="562"/>
      <c r="AB63" s="562"/>
      <c r="AC63" s="562"/>
      <c r="AD63" s="562"/>
      <c r="AE63" s="562"/>
      <c r="AF63" s="562"/>
    </row>
    <row r="64" spans="2:32">
      <c r="B64" s="562"/>
      <c r="C64" s="562"/>
      <c r="D64" s="562"/>
      <c r="E64" s="562"/>
      <c r="F64" s="562"/>
      <c r="G64" s="562"/>
      <c r="H64" s="562"/>
      <c r="I64" s="562"/>
      <c r="J64" s="562"/>
      <c r="K64" s="562"/>
      <c r="L64" s="562"/>
      <c r="M64" s="562"/>
      <c r="N64" s="562"/>
      <c r="O64" s="562"/>
      <c r="P64" s="562"/>
      <c r="Q64" s="562"/>
      <c r="R64" s="562"/>
      <c r="S64" s="562"/>
      <c r="T64" s="562"/>
      <c r="U64" s="562"/>
      <c r="V64" s="562"/>
      <c r="W64" s="562"/>
      <c r="X64" s="562"/>
      <c r="Y64" s="562"/>
      <c r="Z64" s="562"/>
      <c r="AA64" s="562"/>
      <c r="AB64" s="562"/>
      <c r="AC64" s="562"/>
      <c r="AD64" s="562"/>
      <c r="AE64" s="562"/>
      <c r="AF64" s="562"/>
    </row>
    <row r="65" spans="2:32">
      <c r="B65" s="562"/>
      <c r="C65" s="562"/>
      <c r="D65" s="562"/>
      <c r="E65" s="562"/>
      <c r="F65" s="562"/>
      <c r="G65" s="562"/>
      <c r="H65" s="562"/>
      <c r="I65" s="562"/>
      <c r="J65" s="562"/>
      <c r="K65" s="562"/>
      <c r="L65" s="562"/>
      <c r="M65" s="562"/>
      <c r="N65" s="562"/>
      <c r="O65" s="562"/>
      <c r="P65" s="562"/>
      <c r="Q65" s="562"/>
      <c r="R65" s="562"/>
      <c r="S65" s="562"/>
      <c r="T65" s="562"/>
      <c r="U65" s="562"/>
      <c r="V65" s="562"/>
      <c r="W65" s="562"/>
      <c r="X65" s="562"/>
      <c r="Y65" s="562"/>
      <c r="Z65" s="562"/>
      <c r="AA65" s="562"/>
      <c r="AB65" s="562"/>
      <c r="AC65" s="562"/>
      <c r="AD65" s="562"/>
      <c r="AE65" s="562"/>
      <c r="AF65" s="562"/>
    </row>
    <row r="66" spans="2:32">
      <c r="B66" s="562"/>
      <c r="C66" s="562"/>
      <c r="D66" s="562"/>
      <c r="E66" s="562"/>
      <c r="F66" s="562"/>
      <c r="G66" s="562"/>
      <c r="H66" s="562"/>
      <c r="I66" s="562"/>
      <c r="J66" s="562"/>
      <c r="K66" s="562"/>
      <c r="L66" s="562"/>
      <c r="M66" s="562"/>
      <c r="N66" s="562"/>
      <c r="O66" s="562"/>
      <c r="P66" s="562"/>
      <c r="Q66" s="562"/>
      <c r="R66" s="562"/>
      <c r="S66" s="562"/>
      <c r="T66" s="562"/>
      <c r="U66" s="562"/>
      <c r="V66" s="562"/>
      <c r="W66" s="562"/>
      <c r="X66" s="562"/>
      <c r="Y66" s="562"/>
      <c r="Z66" s="562"/>
      <c r="AA66" s="562"/>
      <c r="AB66" s="562"/>
      <c r="AC66" s="562"/>
      <c r="AD66" s="562"/>
      <c r="AE66" s="562"/>
      <c r="AF66" s="562"/>
    </row>
    <row r="67" spans="2:32">
      <c r="B67" s="562"/>
      <c r="C67" s="562"/>
      <c r="D67" s="562"/>
      <c r="E67" s="562"/>
      <c r="F67" s="562"/>
      <c r="G67" s="562"/>
      <c r="H67" s="562"/>
      <c r="I67" s="562"/>
      <c r="J67" s="562"/>
      <c r="K67" s="562"/>
      <c r="L67" s="562"/>
      <c r="M67" s="562"/>
      <c r="N67" s="562"/>
      <c r="O67" s="562"/>
      <c r="P67" s="562"/>
      <c r="Q67" s="562"/>
      <c r="R67" s="562"/>
      <c r="S67" s="562"/>
      <c r="T67" s="562"/>
      <c r="U67" s="562"/>
      <c r="V67" s="562"/>
      <c r="W67" s="562"/>
      <c r="X67" s="562"/>
      <c r="Y67" s="562"/>
      <c r="Z67" s="562"/>
      <c r="AA67" s="562"/>
      <c r="AB67" s="562"/>
      <c r="AC67" s="562"/>
      <c r="AD67" s="562"/>
      <c r="AE67" s="562"/>
      <c r="AF67" s="562"/>
    </row>
    <row r="68" spans="2:32">
      <c r="B68" s="562"/>
      <c r="C68" s="562"/>
      <c r="D68" s="562"/>
      <c r="E68" s="562"/>
      <c r="F68" s="562"/>
      <c r="G68" s="562"/>
      <c r="H68" s="562"/>
      <c r="I68" s="562"/>
      <c r="J68" s="562"/>
      <c r="K68" s="562"/>
      <c r="L68" s="562"/>
      <c r="M68" s="562"/>
      <c r="N68" s="562"/>
      <c r="O68" s="562"/>
      <c r="P68" s="562"/>
      <c r="Q68" s="562"/>
      <c r="R68" s="562"/>
      <c r="S68" s="562"/>
      <c r="T68" s="562"/>
      <c r="U68" s="562"/>
      <c r="V68" s="562"/>
      <c r="W68" s="562"/>
      <c r="X68" s="562"/>
      <c r="Y68" s="562"/>
      <c r="Z68" s="562"/>
      <c r="AA68" s="562"/>
      <c r="AB68" s="562"/>
      <c r="AC68" s="562"/>
      <c r="AD68" s="562"/>
      <c r="AE68" s="562"/>
      <c r="AF68" s="562"/>
    </row>
    <row r="69" spans="2:32">
      <c r="B69" s="562"/>
      <c r="C69" s="562"/>
      <c r="D69" s="562"/>
      <c r="E69" s="562"/>
      <c r="F69" s="562"/>
      <c r="G69" s="562"/>
      <c r="H69" s="562"/>
      <c r="I69" s="562"/>
      <c r="J69" s="562"/>
      <c r="K69" s="562"/>
      <c r="L69" s="562"/>
      <c r="M69" s="562"/>
      <c r="N69" s="562"/>
      <c r="O69" s="562"/>
      <c r="P69" s="562"/>
      <c r="Q69" s="562"/>
      <c r="R69" s="562"/>
      <c r="S69" s="562"/>
      <c r="T69" s="562"/>
      <c r="U69" s="562"/>
      <c r="V69" s="562"/>
      <c r="W69" s="562"/>
      <c r="X69" s="562"/>
      <c r="Y69" s="562"/>
      <c r="Z69" s="562"/>
      <c r="AA69" s="562"/>
      <c r="AB69" s="562"/>
      <c r="AC69" s="562"/>
      <c r="AD69" s="562"/>
      <c r="AE69" s="562"/>
      <c r="AF69" s="562"/>
    </row>
    <row r="70" spans="2:32">
      <c r="B70" s="562"/>
      <c r="C70" s="562"/>
      <c r="D70" s="562"/>
      <c r="E70" s="562"/>
      <c r="F70" s="562"/>
      <c r="G70" s="562"/>
      <c r="H70" s="562"/>
      <c r="I70" s="562"/>
      <c r="J70" s="562"/>
      <c r="K70" s="562"/>
      <c r="L70" s="562"/>
      <c r="M70" s="562"/>
      <c r="N70" s="562"/>
      <c r="O70" s="562"/>
      <c r="P70" s="562"/>
      <c r="Q70" s="562"/>
      <c r="R70" s="562"/>
      <c r="S70" s="562"/>
      <c r="T70" s="562"/>
      <c r="U70" s="562"/>
      <c r="V70" s="562"/>
      <c r="W70" s="562"/>
      <c r="X70" s="562"/>
      <c r="Y70" s="562"/>
      <c r="Z70" s="562"/>
      <c r="AA70" s="562"/>
      <c r="AB70" s="562"/>
      <c r="AC70" s="562"/>
      <c r="AD70" s="562"/>
      <c r="AE70" s="562"/>
      <c r="AF70" s="562"/>
    </row>
    <row r="71" spans="2:32">
      <c r="B71" s="562"/>
      <c r="C71" s="562"/>
      <c r="D71" s="562"/>
      <c r="E71" s="562"/>
      <c r="F71" s="562"/>
      <c r="G71" s="562"/>
      <c r="H71" s="562"/>
      <c r="I71" s="562"/>
      <c r="J71" s="562"/>
      <c r="K71" s="562"/>
      <c r="L71" s="562"/>
      <c r="M71" s="562"/>
      <c r="N71" s="562"/>
      <c r="O71" s="562"/>
      <c r="P71" s="562"/>
      <c r="Q71" s="562"/>
      <c r="R71" s="562"/>
      <c r="S71" s="562"/>
      <c r="T71" s="562"/>
      <c r="U71" s="562"/>
      <c r="V71" s="562"/>
      <c r="W71" s="562"/>
      <c r="X71" s="562"/>
      <c r="Y71" s="562"/>
      <c r="Z71" s="562"/>
      <c r="AA71" s="562"/>
      <c r="AB71" s="562"/>
      <c r="AC71" s="562"/>
      <c r="AD71" s="562"/>
      <c r="AE71" s="562"/>
      <c r="AF71" s="562"/>
    </row>
    <row r="72" spans="2:32">
      <c r="B72" s="562"/>
      <c r="C72" s="562"/>
      <c r="D72" s="562"/>
      <c r="E72" s="562"/>
      <c r="F72" s="562"/>
      <c r="G72" s="562"/>
      <c r="H72" s="562"/>
      <c r="I72" s="562"/>
      <c r="J72" s="562"/>
      <c r="K72" s="562"/>
      <c r="L72" s="562"/>
      <c r="M72" s="562"/>
      <c r="N72" s="562"/>
      <c r="O72" s="562"/>
      <c r="P72" s="562"/>
      <c r="Q72" s="562"/>
      <c r="R72" s="562"/>
      <c r="S72" s="562"/>
      <c r="T72" s="562"/>
      <c r="U72" s="562"/>
      <c r="V72" s="562"/>
      <c r="W72" s="562"/>
      <c r="X72" s="562"/>
      <c r="Y72" s="562"/>
      <c r="Z72" s="562"/>
      <c r="AA72" s="562"/>
      <c r="AB72" s="562"/>
      <c r="AC72" s="562"/>
      <c r="AD72" s="562"/>
      <c r="AE72" s="562"/>
      <c r="AF72" s="562"/>
    </row>
    <row r="73" spans="2:32">
      <c r="B73" s="562"/>
      <c r="C73" s="562"/>
      <c r="D73" s="562"/>
      <c r="E73" s="562"/>
      <c r="F73" s="562"/>
      <c r="G73" s="562"/>
      <c r="H73" s="562"/>
      <c r="I73" s="562"/>
      <c r="J73" s="562"/>
      <c r="K73" s="562"/>
      <c r="L73" s="562"/>
      <c r="M73" s="562"/>
      <c r="N73" s="562"/>
      <c r="O73" s="562"/>
      <c r="P73" s="562"/>
      <c r="Q73" s="562"/>
      <c r="R73" s="562"/>
      <c r="S73" s="562"/>
      <c r="T73" s="562"/>
      <c r="U73" s="562"/>
      <c r="V73" s="562"/>
      <c r="W73" s="562"/>
      <c r="X73" s="562"/>
      <c r="Y73" s="562"/>
      <c r="Z73" s="562"/>
      <c r="AA73" s="562"/>
      <c r="AB73" s="562"/>
      <c r="AC73" s="562"/>
      <c r="AD73" s="562"/>
      <c r="AE73" s="562"/>
      <c r="AF73" s="562"/>
    </row>
    <row r="74" spans="2:32">
      <c r="B74" s="562"/>
      <c r="C74" s="562"/>
      <c r="D74" s="562"/>
      <c r="E74" s="562"/>
      <c r="F74" s="562"/>
      <c r="G74" s="562"/>
      <c r="H74" s="562"/>
      <c r="I74" s="562"/>
      <c r="J74" s="562"/>
      <c r="K74" s="562"/>
      <c r="L74" s="562"/>
      <c r="M74" s="562"/>
      <c r="N74" s="562"/>
      <c r="O74" s="562"/>
      <c r="P74" s="562"/>
      <c r="Q74" s="562"/>
      <c r="R74" s="562"/>
      <c r="S74" s="562"/>
      <c r="T74" s="562"/>
      <c r="U74" s="562"/>
      <c r="V74" s="562"/>
      <c r="W74" s="562"/>
      <c r="X74" s="562"/>
      <c r="Y74" s="562"/>
      <c r="Z74" s="562"/>
      <c r="AA74" s="562"/>
      <c r="AB74" s="562"/>
      <c r="AC74" s="562"/>
      <c r="AD74" s="562"/>
      <c r="AE74" s="562"/>
      <c r="AF74" s="562"/>
    </row>
  </sheetData>
  <mergeCells count="11">
    <mergeCell ref="R7:T7"/>
    <mergeCell ref="Y7:AB7"/>
    <mergeCell ref="A1:AF1"/>
    <mergeCell ref="A2:AF2"/>
    <mergeCell ref="A3:AF3"/>
    <mergeCell ref="B7:E7"/>
    <mergeCell ref="F7:I7"/>
    <mergeCell ref="J7:M7"/>
    <mergeCell ref="N7:Q7"/>
    <mergeCell ref="AC7:AF7"/>
    <mergeCell ref="U7:X7"/>
  </mergeCells>
  <phoneticPr fontId="19" type="noConversion"/>
  <pageMargins left="0.39370078740157483" right="0.39370078740157483" top="0.39370078740157483" bottom="0.39370078740157483" header="0" footer="0"/>
  <pageSetup paperSize="5" scale="73" orientation="landscape" horizontalDpi="300" verticalDpi="300" r:id="rId1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59"/>
  <sheetViews>
    <sheetView topLeftCell="J37" zoomScale="75" workbookViewId="0">
      <selection activeCell="AF39" sqref="AF39:AF47"/>
    </sheetView>
  </sheetViews>
  <sheetFormatPr baseColWidth="10" defaultColWidth="27" defaultRowHeight="12"/>
  <cols>
    <col min="1" max="1" width="27" style="209" customWidth="1"/>
    <col min="2" max="20" width="7.140625" style="8" customWidth="1"/>
    <col min="21" max="28" width="7.7109375" style="8" customWidth="1"/>
    <col min="29" max="34" width="7.140625" style="8" customWidth="1"/>
    <col min="35" max="16384" width="27" style="209"/>
  </cols>
  <sheetData>
    <row r="1" spans="1:32">
      <c r="A1" s="1225" t="s">
        <v>1057</v>
      </c>
      <c r="B1" s="1225"/>
      <c r="C1" s="1225"/>
      <c r="D1" s="1225"/>
      <c r="E1" s="1225"/>
      <c r="F1" s="1225"/>
      <c r="G1" s="1225"/>
      <c r="H1" s="1225"/>
      <c r="I1" s="1225"/>
      <c r="J1" s="1225"/>
      <c r="K1" s="1225"/>
      <c r="L1" s="1225"/>
      <c r="M1" s="1225"/>
      <c r="N1" s="1225"/>
      <c r="O1" s="1225"/>
      <c r="P1" s="1225"/>
      <c r="Q1" s="1225"/>
      <c r="R1" s="1225"/>
      <c r="S1" s="1225"/>
      <c r="T1" s="1225"/>
      <c r="U1" s="1225"/>
      <c r="V1" s="1225"/>
      <c r="W1" s="1225"/>
      <c r="X1" s="1225"/>
      <c r="Y1" s="1225"/>
      <c r="Z1" s="1225"/>
      <c r="AA1" s="1225"/>
      <c r="AB1" s="1225"/>
      <c r="AC1" s="1225"/>
      <c r="AD1" s="1225"/>
      <c r="AE1" s="1225"/>
      <c r="AF1" s="1225"/>
    </row>
    <row r="2" spans="1:32">
      <c r="A2" s="1225" t="s">
        <v>1103</v>
      </c>
      <c r="B2" s="1225"/>
      <c r="C2" s="1225"/>
      <c r="D2" s="1225"/>
      <c r="E2" s="1225"/>
      <c r="F2" s="1225"/>
      <c r="G2" s="1225"/>
      <c r="H2" s="1225"/>
      <c r="I2" s="1225"/>
      <c r="J2" s="1225"/>
      <c r="K2" s="1225"/>
      <c r="L2" s="1225"/>
      <c r="M2" s="1225"/>
      <c r="N2" s="1225"/>
      <c r="O2" s="1225"/>
      <c r="P2" s="1225"/>
      <c r="Q2" s="1225"/>
      <c r="R2" s="1225"/>
      <c r="S2" s="1225"/>
      <c r="T2" s="1225"/>
      <c r="U2" s="1225"/>
      <c r="V2" s="1225"/>
      <c r="W2" s="1225"/>
      <c r="X2" s="1225"/>
      <c r="Y2" s="1225"/>
      <c r="Z2" s="1225"/>
      <c r="AA2" s="1225"/>
      <c r="AB2" s="1225"/>
      <c r="AC2" s="1225"/>
      <c r="AD2" s="1225"/>
      <c r="AE2" s="1225"/>
      <c r="AF2" s="1225"/>
    </row>
    <row r="3" spans="1:32">
      <c r="A3" s="1225" t="s">
        <v>970</v>
      </c>
      <c r="B3" s="1225"/>
      <c r="C3" s="1225"/>
      <c r="D3" s="1225"/>
      <c r="E3" s="1225"/>
      <c r="F3" s="1225"/>
      <c r="G3" s="1225"/>
      <c r="H3" s="1225"/>
      <c r="I3" s="1225"/>
      <c r="J3" s="1225"/>
      <c r="K3" s="1225"/>
      <c r="L3" s="1225"/>
      <c r="M3" s="1225"/>
      <c r="N3" s="1225"/>
      <c r="O3" s="1225"/>
      <c r="P3" s="1225"/>
      <c r="Q3" s="1225"/>
      <c r="R3" s="1225"/>
      <c r="S3" s="1225"/>
      <c r="T3" s="1225"/>
      <c r="U3" s="1225"/>
      <c r="V3" s="1225"/>
      <c r="W3" s="1225"/>
      <c r="X3" s="1225"/>
      <c r="Y3" s="1225"/>
      <c r="Z3" s="1225"/>
      <c r="AA3" s="1225"/>
      <c r="AB3" s="1225"/>
      <c r="AC3" s="1225"/>
      <c r="AD3" s="1225"/>
      <c r="AE3" s="1225"/>
      <c r="AF3" s="1225"/>
    </row>
    <row r="6" spans="1:32">
      <c r="A6" s="407" t="s">
        <v>1059</v>
      </c>
    </row>
    <row r="7" spans="1:32" ht="18" customHeight="1">
      <c r="A7" s="346" t="s">
        <v>1060</v>
      </c>
      <c r="B7" s="1250" t="s">
        <v>1061</v>
      </c>
      <c r="C7" s="1250"/>
      <c r="D7" s="1250"/>
      <c r="E7" s="1250"/>
      <c r="F7" s="1249" t="s">
        <v>976</v>
      </c>
      <c r="G7" s="1250"/>
      <c r="H7" s="1250"/>
      <c r="I7" s="1251"/>
      <c r="J7" s="1250" t="s">
        <v>1062</v>
      </c>
      <c r="K7" s="1250"/>
      <c r="L7" s="1250"/>
      <c r="M7" s="1250"/>
      <c r="N7" s="1249" t="s">
        <v>1026</v>
      </c>
      <c r="O7" s="1250"/>
      <c r="P7" s="1250"/>
      <c r="Q7" s="1250"/>
      <c r="R7" s="1249" t="s">
        <v>1363</v>
      </c>
      <c r="S7" s="1250"/>
      <c r="T7" s="1251"/>
      <c r="U7" s="1220" t="s">
        <v>1101</v>
      </c>
      <c r="V7" s="1221"/>
      <c r="W7" s="1221"/>
      <c r="X7" s="1222"/>
      <c r="Y7" s="1220" t="str">
        <f>+'61'!Y7:AB7</f>
        <v>CONS. LOS ANDES N°1 MUNICIPAL</v>
      </c>
      <c r="Z7" s="1221"/>
      <c r="AA7" s="1221"/>
      <c r="AB7" s="1222"/>
      <c r="AC7" s="1249" t="s">
        <v>706</v>
      </c>
      <c r="AD7" s="1250"/>
      <c r="AE7" s="1250"/>
      <c r="AF7" s="1251"/>
    </row>
    <row r="8" spans="1:32" ht="18" customHeight="1">
      <c r="A8" s="15"/>
      <c r="B8" s="549">
        <f>+'61'!B8</f>
        <v>2011</v>
      </c>
      <c r="C8" s="549">
        <f>+'61'!C8</f>
        <v>2012</v>
      </c>
      <c r="D8" s="549">
        <f>+'61'!D8</f>
        <v>2013</v>
      </c>
      <c r="E8" s="549">
        <f>+'61'!E8</f>
        <v>2014</v>
      </c>
      <c r="F8" s="489">
        <f>+'61'!F8</f>
        <v>2011</v>
      </c>
      <c r="G8" s="539">
        <f>+'61'!G8</f>
        <v>2012</v>
      </c>
      <c r="H8" s="539">
        <f>+'61'!H8</f>
        <v>2013</v>
      </c>
      <c r="I8" s="544">
        <f>+'61'!I8</f>
        <v>2014</v>
      </c>
      <c r="J8" s="549">
        <f>+'61'!J8</f>
        <v>2011</v>
      </c>
      <c r="K8" s="549">
        <f>+'61'!K8</f>
        <v>2012</v>
      </c>
      <c r="L8" s="549">
        <f>+'61'!L8</f>
        <v>2013</v>
      </c>
      <c r="M8" s="549">
        <f>+'61'!M8</f>
        <v>2014</v>
      </c>
      <c r="N8" s="489">
        <f>+'61'!N8</f>
        <v>2011</v>
      </c>
      <c r="O8" s="539">
        <f>+'61'!O8</f>
        <v>2012</v>
      </c>
      <c r="P8" s="539">
        <f>+'61'!P8</f>
        <v>2013</v>
      </c>
      <c r="Q8" s="539">
        <f>+'61'!Q8</f>
        <v>2014</v>
      </c>
      <c r="R8" s="1165">
        <f>+O8</f>
        <v>2012</v>
      </c>
      <c r="S8" s="1166">
        <f>+P8</f>
        <v>2013</v>
      </c>
      <c r="T8" s="1167">
        <f>+Q8</f>
        <v>2014</v>
      </c>
      <c r="U8" s="489">
        <f>+'61'!U8</f>
        <v>2011</v>
      </c>
      <c r="V8" s="539">
        <f>+'61'!V8</f>
        <v>2012</v>
      </c>
      <c r="W8" s="539">
        <f>+'61'!W8</f>
        <v>2013</v>
      </c>
      <c r="X8" s="539">
        <f>+'61'!X8</f>
        <v>2014</v>
      </c>
      <c r="Y8" s="489">
        <f>+'61'!Y8</f>
        <v>2011</v>
      </c>
      <c r="Z8" s="539">
        <f>+'61'!Z8</f>
        <v>2012</v>
      </c>
      <c r="AA8" s="539">
        <f>+'61'!AA8</f>
        <v>2013</v>
      </c>
      <c r="AB8" s="544">
        <f>+'61'!AB8</f>
        <v>2014</v>
      </c>
      <c r="AC8" s="489">
        <f>+'61'!AC8</f>
        <v>2011</v>
      </c>
      <c r="AD8" s="539">
        <f>+'61'!AD8</f>
        <v>2012</v>
      </c>
      <c r="AE8" s="539">
        <f>+'61'!AE8</f>
        <v>2013</v>
      </c>
      <c r="AF8" s="572">
        <f>+'61'!AF8</f>
        <v>2014</v>
      </c>
    </row>
    <row r="9" spans="1:32" ht="18" customHeight="1">
      <c r="A9" s="346" t="s">
        <v>1063</v>
      </c>
      <c r="B9" s="563">
        <f>+'58'!B9+'59'!B9+'60'!B9+'61'!B9</f>
        <v>4123</v>
      </c>
      <c r="C9" s="564">
        <f>+'58'!C9+'59'!C9+'60'!C9+'61'!C9</f>
        <v>4728</v>
      </c>
      <c r="D9" s="564">
        <f>+'58'!D9+'59'!D9+'60'!D9+'61'!D9</f>
        <v>4837</v>
      </c>
      <c r="E9" s="565">
        <f>+'58'!E9+'59'!E9+'60'!E9+'61'!E9</f>
        <v>4716</v>
      </c>
      <c r="F9" s="556">
        <f>+'58'!F9+'59'!F9+'60'!F9+'61'!F9</f>
        <v>3974</v>
      </c>
      <c r="G9" s="556">
        <f>+'58'!G9+'59'!G9+'60'!G9+'61'!G9</f>
        <v>3220</v>
      </c>
      <c r="H9" s="556">
        <f>+'58'!H9+'59'!H9+'60'!H9+'61'!H9</f>
        <v>3204</v>
      </c>
      <c r="I9" s="556">
        <f>+'58'!I9+'59'!I9+'60'!I9+'61'!I9</f>
        <v>3177</v>
      </c>
      <c r="J9" s="563">
        <f>+'58'!J9+'59'!J9+'60'!J9+'61'!J9</f>
        <v>0</v>
      </c>
      <c r="K9" s="564">
        <f>+'58'!K9+'59'!K9+'60'!K9+'61'!K9</f>
        <v>0</v>
      </c>
      <c r="L9" s="564">
        <f>+'58'!L9+'59'!L9+'60'!L9+'61'!L9</f>
        <v>0</v>
      </c>
      <c r="M9" s="565">
        <f>+'58'!M9+'59'!M9+'60'!M9+'61'!M9</f>
        <v>0</v>
      </c>
      <c r="N9" s="556">
        <f>+'58'!N9+'59'!N9+'60'!N9+'61'!N9</f>
        <v>0</v>
      </c>
      <c r="O9" s="556">
        <f>+'58'!O9+'59'!O9+'60'!O9+'61'!O9</f>
        <v>0</v>
      </c>
      <c r="P9" s="556">
        <f>+'58'!P9+'59'!P9+'60'!P9+'61'!P9</f>
        <v>0</v>
      </c>
      <c r="Q9" s="556">
        <f>+'58'!Q9+'59'!Q9+'60'!Q9+'61'!Q9</f>
        <v>0</v>
      </c>
      <c r="R9" s="502">
        <f>+'58'!R9+'59'!R9+'60'!R9+'61'!R9</f>
        <v>0</v>
      </c>
      <c r="S9" s="503">
        <f>+'58'!S9+'59'!S9+'60'!S9+'61'!S9</f>
        <v>0</v>
      </c>
      <c r="T9" s="501">
        <f>+'58'!T9+'59'!T9+'60'!T9+'61'!T9</f>
        <v>0</v>
      </c>
      <c r="U9" s="564">
        <f>+'58'!U9+'59'!U9+'60'!U9+'61'!U9</f>
        <v>0</v>
      </c>
      <c r="V9" s="564">
        <f>+'58'!V9+'59'!V9+'60'!V9+'61'!V9</f>
        <v>0</v>
      </c>
      <c r="W9" s="564">
        <f>+'58'!W9+'59'!W9+'60'!W9+'61'!W9</f>
        <v>0</v>
      </c>
      <c r="X9" s="564">
        <f>+'58'!X9+'59'!X9+'60'!X9+'61'!X9</f>
        <v>0</v>
      </c>
      <c r="Y9" s="557">
        <f>+'60'!Y9+'61'!Y9</f>
        <v>0</v>
      </c>
      <c r="Z9" s="556">
        <f>+'60'!Z9+'61'!Z9</f>
        <v>0</v>
      </c>
      <c r="AA9" s="556">
        <f>+'60'!AA9+'61'!AA9</f>
        <v>0</v>
      </c>
      <c r="AB9" s="564">
        <f>+'60'!AB9+'61'!AB9</f>
        <v>0</v>
      </c>
      <c r="AC9" s="557">
        <f>+N9+J9+F9+B9+U9+Y9</f>
        <v>8097</v>
      </c>
      <c r="AD9" s="556">
        <f>+O9+K9+G9+C9+V9+Z9</f>
        <v>7948</v>
      </c>
      <c r="AE9" s="556">
        <f>+P9+L9+H9+D9+W9+AA9</f>
        <v>8041</v>
      </c>
      <c r="AF9" s="541">
        <f>+Q9+M9+I9+E9+X9+AB9</f>
        <v>7893</v>
      </c>
    </row>
    <row r="10" spans="1:32" ht="18" customHeight="1">
      <c r="A10" s="95" t="s">
        <v>1064</v>
      </c>
      <c r="B10" s="557">
        <f>+'58'!B10+'59'!B10+'60'!B10+'61'!B10</f>
        <v>11810</v>
      </c>
      <c r="C10" s="556">
        <f>+'58'!C10+'59'!C10+'60'!C10+'61'!C10</f>
        <v>12583</v>
      </c>
      <c r="D10" s="556">
        <f>+'58'!D10+'59'!D10+'60'!D10+'61'!D10</f>
        <v>13514</v>
      </c>
      <c r="E10" s="541">
        <f>+'58'!E10+'59'!E10+'60'!E10+'61'!E10</f>
        <v>15725</v>
      </c>
      <c r="F10" s="556">
        <f>+'58'!F10+'59'!F10+'60'!F10+'61'!F10</f>
        <v>10638</v>
      </c>
      <c r="G10" s="556">
        <f>+'58'!G10+'59'!G10+'60'!G10+'61'!G10</f>
        <v>9681</v>
      </c>
      <c r="H10" s="556">
        <f>+'58'!H10+'59'!H10+'60'!H10+'61'!H10</f>
        <v>9154</v>
      </c>
      <c r="I10" s="556">
        <f>+'58'!I10+'59'!I10+'60'!I10+'61'!I10</f>
        <v>8124</v>
      </c>
      <c r="J10" s="557">
        <f>+'58'!J10+'59'!J10+'60'!J10+'61'!J10</f>
        <v>0</v>
      </c>
      <c r="K10" s="556">
        <f>+'58'!K10+'59'!K10+'60'!K10+'61'!K10</f>
        <v>0</v>
      </c>
      <c r="L10" s="556">
        <f>+'58'!L10+'59'!L10+'60'!L10+'61'!L10</f>
        <v>0</v>
      </c>
      <c r="M10" s="541">
        <f>+'58'!M10+'59'!M10+'60'!M10+'61'!M10</f>
        <v>0</v>
      </c>
      <c r="N10" s="556">
        <f>+'58'!N10+'59'!N10+'60'!N10+'61'!N10</f>
        <v>0</v>
      </c>
      <c r="O10" s="556">
        <f>+'58'!O10+'59'!O10+'60'!O10+'61'!O10</f>
        <v>0</v>
      </c>
      <c r="P10" s="556">
        <f>+'58'!P10+'59'!P10+'60'!P10+'61'!P10</f>
        <v>0</v>
      </c>
      <c r="Q10" s="556">
        <f>+'58'!Q10+'59'!Q10+'60'!Q10+'61'!Q10</f>
        <v>0</v>
      </c>
      <c r="R10" s="377">
        <f>+'58'!R10+'59'!R10+'60'!R10+'61'!R10</f>
        <v>0</v>
      </c>
      <c r="S10" s="378">
        <f>+'58'!S10+'59'!S10+'60'!S10+'61'!S10</f>
        <v>0</v>
      </c>
      <c r="T10" s="500">
        <f>+'58'!T10+'59'!T10+'60'!T10+'61'!T10</f>
        <v>0</v>
      </c>
      <c r="U10" s="556">
        <f>+'58'!U10+'59'!U10+'60'!U10+'61'!U10</f>
        <v>0</v>
      </c>
      <c r="V10" s="556">
        <f>+'58'!V10+'59'!V10+'60'!V10+'61'!V10</f>
        <v>0</v>
      </c>
      <c r="W10" s="556">
        <f>+'58'!W10+'59'!W10+'60'!W10+'61'!W10</f>
        <v>0</v>
      </c>
      <c r="X10" s="556">
        <f>+'58'!X10+'59'!X10+'60'!X10+'61'!X10</f>
        <v>0</v>
      </c>
      <c r="Y10" s="557">
        <f>+'60'!Y10+'61'!Y10</f>
        <v>0</v>
      </c>
      <c r="Z10" s="556">
        <f>+'60'!Z10+'61'!Z10</f>
        <v>0</v>
      </c>
      <c r="AA10" s="556">
        <f>+'60'!AA10+'61'!AA10</f>
        <v>0</v>
      </c>
      <c r="AB10" s="556">
        <f>+'60'!AB10+'61'!AB10</f>
        <v>0</v>
      </c>
      <c r="AC10" s="557">
        <f t="shared" ref="AC10:AC35" si="0">+N10+J10+F10+B10+U10+Y10</f>
        <v>22448</v>
      </c>
      <c r="AD10" s="556">
        <f t="shared" ref="AD10:AD26" si="1">+O10+K10+G10+C10+V10+Z10</f>
        <v>22264</v>
      </c>
      <c r="AE10" s="556">
        <f t="shared" ref="AE10:AE26" si="2">+P10+L10+H10+D10+W10+AA10</f>
        <v>22668</v>
      </c>
      <c r="AF10" s="541">
        <f t="shared" ref="AF10:AF26" si="3">+Q10+M10+I10+E10+X10+AB10</f>
        <v>23849</v>
      </c>
    </row>
    <row r="11" spans="1:32" ht="18" customHeight="1">
      <c r="A11" s="95" t="s">
        <v>1065</v>
      </c>
      <c r="B11" s="557">
        <f>+'58'!B11+'59'!B11+'60'!B11+'61'!B11</f>
        <v>766</v>
      </c>
      <c r="C11" s="556">
        <f>+'58'!C11+'59'!C11+'60'!C11+'61'!C11</f>
        <v>899</v>
      </c>
      <c r="D11" s="556">
        <f>+'58'!D11+'59'!D11+'60'!D11+'61'!D11</f>
        <v>1046</v>
      </c>
      <c r="E11" s="541">
        <f>+'58'!E11+'59'!E11+'60'!E11+'61'!E11</f>
        <v>1115</v>
      </c>
      <c r="F11" s="556">
        <f>+'58'!F11+'59'!F11+'60'!F11+'61'!F11</f>
        <v>0</v>
      </c>
      <c r="G11" s="556">
        <f>+'58'!G11+'59'!G11+'60'!G11+'61'!G11</f>
        <v>0</v>
      </c>
      <c r="H11" s="556">
        <f>+'58'!H11+'59'!H11+'60'!H11+'61'!H11</f>
        <v>0</v>
      </c>
      <c r="I11" s="556">
        <f>+'58'!I11+'59'!I11+'60'!I11+'61'!I11</f>
        <v>0</v>
      </c>
      <c r="J11" s="557">
        <f>+'58'!J11+'59'!J11+'60'!J11+'61'!J11</f>
        <v>0</v>
      </c>
      <c r="K11" s="556">
        <f>+'58'!K11+'59'!K11+'60'!K11+'61'!K11</f>
        <v>0</v>
      </c>
      <c r="L11" s="556">
        <f>+'58'!L11+'59'!L11+'60'!L11+'61'!L11</f>
        <v>0</v>
      </c>
      <c r="M11" s="541">
        <f>+'58'!M11+'59'!M11+'60'!M11+'61'!M11</f>
        <v>0</v>
      </c>
      <c r="N11" s="556">
        <f>+'58'!N11+'59'!N11+'60'!N11+'61'!N11</f>
        <v>0</v>
      </c>
      <c r="O11" s="556">
        <f>+'58'!O11+'59'!O11+'60'!O11+'61'!O11</f>
        <v>0</v>
      </c>
      <c r="P11" s="556">
        <f>+'58'!P11+'59'!P11+'60'!P11+'61'!P11</f>
        <v>0</v>
      </c>
      <c r="Q11" s="556">
        <f>+'58'!Q11+'59'!Q11+'60'!Q11+'61'!Q11</f>
        <v>0</v>
      </c>
      <c r="R11" s="377">
        <f>+'58'!R11+'59'!R11+'60'!R11+'61'!R11</f>
        <v>0</v>
      </c>
      <c r="S11" s="378">
        <f>+'58'!S11+'59'!S11+'60'!S11+'61'!S11</f>
        <v>0</v>
      </c>
      <c r="T11" s="500">
        <f>+'58'!T11+'59'!T11+'60'!T11+'61'!T11</f>
        <v>0</v>
      </c>
      <c r="U11" s="556">
        <f>+'58'!U11+'59'!U11+'60'!U11+'61'!U11</f>
        <v>0</v>
      </c>
      <c r="V11" s="556">
        <f>+'58'!V11+'59'!V11+'60'!V11+'61'!V11</f>
        <v>0</v>
      </c>
      <c r="W11" s="556">
        <f>+'58'!W11+'59'!W11+'60'!W11+'61'!W11</f>
        <v>0</v>
      </c>
      <c r="X11" s="556">
        <f>+'58'!X11+'59'!X11+'60'!X11+'61'!X11</f>
        <v>0</v>
      </c>
      <c r="Y11" s="557">
        <f>+'60'!Y11+'61'!Y11</f>
        <v>0</v>
      </c>
      <c r="Z11" s="556">
        <f>+'60'!Z11+'61'!Z11</f>
        <v>0</v>
      </c>
      <c r="AA11" s="556">
        <f>+'60'!AA11+'61'!AA11</f>
        <v>0</v>
      </c>
      <c r="AB11" s="556">
        <f>+'60'!AB11+'61'!AB11</f>
        <v>0</v>
      </c>
      <c r="AC11" s="557">
        <f t="shared" si="0"/>
        <v>766</v>
      </c>
      <c r="AD11" s="556">
        <f t="shared" si="1"/>
        <v>899</v>
      </c>
      <c r="AE11" s="556">
        <f t="shared" si="2"/>
        <v>1046</v>
      </c>
      <c r="AF11" s="541">
        <f t="shared" si="3"/>
        <v>1115</v>
      </c>
    </row>
    <row r="12" spans="1:32" ht="18" customHeight="1">
      <c r="A12" s="95" t="s">
        <v>1066</v>
      </c>
      <c r="B12" s="557">
        <f>+'58'!B12+'59'!B12+'60'!B12+'61'!B12</f>
        <v>0</v>
      </c>
      <c r="C12" s="556">
        <f>+'58'!C12+'59'!C12+'60'!C12+'61'!C12</f>
        <v>0</v>
      </c>
      <c r="D12" s="556">
        <f>+'58'!D12+'59'!D12+'60'!D12+'61'!D12</f>
        <v>0</v>
      </c>
      <c r="E12" s="541">
        <f>+'58'!E12+'59'!E12+'60'!E12+'61'!E12</f>
        <v>0</v>
      </c>
      <c r="F12" s="556">
        <f>+'58'!F12+'59'!F12+'60'!F12+'61'!F12</f>
        <v>1556</v>
      </c>
      <c r="G12" s="556">
        <f>+'58'!G12+'59'!G12+'60'!G12+'61'!G12</f>
        <v>1519</v>
      </c>
      <c r="H12" s="556">
        <f>+'58'!H12+'59'!H12+'60'!H12+'61'!H12</f>
        <v>1328</v>
      </c>
      <c r="I12" s="556">
        <f>+'58'!I12+'59'!I12+'60'!I12+'61'!I12</f>
        <v>831</v>
      </c>
      <c r="J12" s="557">
        <f>+'58'!J12+'59'!J12+'60'!J12+'61'!J12</f>
        <v>0</v>
      </c>
      <c r="K12" s="556">
        <f>+'58'!K12+'59'!K12+'60'!K12+'61'!K12</f>
        <v>0</v>
      </c>
      <c r="L12" s="556">
        <f>+'58'!L12+'59'!L12+'60'!L12+'61'!L12</f>
        <v>0</v>
      </c>
      <c r="M12" s="541">
        <f>+'58'!M12+'59'!M12+'60'!M12+'61'!M12</f>
        <v>0</v>
      </c>
      <c r="N12" s="556">
        <f>+'58'!N12+'59'!N12+'60'!N12+'61'!N12</f>
        <v>0</v>
      </c>
      <c r="O12" s="556">
        <f>+'58'!O12+'59'!O12+'60'!O12+'61'!O12</f>
        <v>0</v>
      </c>
      <c r="P12" s="556">
        <f>+'58'!P12+'59'!P12+'60'!P12+'61'!P12</f>
        <v>0</v>
      </c>
      <c r="Q12" s="556">
        <f>+'58'!Q12+'59'!Q12+'60'!Q12+'61'!Q12</f>
        <v>0</v>
      </c>
      <c r="R12" s="377">
        <f>+'58'!R12+'59'!R12+'60'!R12+'61'!R12</f>
        <v>0</v>
      </c>
      <c r="S12" s="378">
        <f>+'58'!S12+'59'!S12+'60'!S12+'61'!S12</f>
        <v>0</v>
      </c>
      <c r="T12" s="500">
        <f>+'58'!T12+'59'!T12+'60'!T12+'61'!T12</f>
        <v>0</v>
      </c>
      <c r="U12" s="556">
        <f>+'58'!U12+'59'!U12+'60'!U12+'61'!U12</f>
        <v>0</v>
      </c>
      <c r="V12" s="556">
        <f>+'58'!V12+'59'!V12+'60'!V12+'61'!V12</f>
        <v>0</v>
      </c>
      <c r="W12" s="556">
        <f>+'58'!W12+'59'!W12+'60'!W12+'61'!W12</f>
        <v>0</v>
      </c>
      <c r="X12" s="556">
        <f>+'58'!X12+'59'!X12+'60'!X12+'61'!X12</f>
        <v>0</v>
      </c>
      <c r="Y12" s="557">
        <f>+'60'!Y12+'61'!Y12</f>
        <v>0</v>
      </c>
      <c r="Z12" s="556">
        <f>+'60'!Z12+'61'!Z12</f>
        <v>0</v>
      </c>
      <c r="AA12" s="556">
        <f>+'60'!AA12+'61'!AA12</f>
        <v>0</v>
      </c>
      <c r="AB12" s="556">
        <f>+'60'!AB12+'61'!AB12</f>
        <v>0</v>
      </c>
      <c r="AC12" s="557">
        <f t="shared" si="0"/>
        <v>1556</v>
      </c>
      <c r="AD12" s="556">
        <f t="shared" si="1"/>
        <v>1519</v>
      </c>
      <c r="AE12" s="556">
        <f t="shared" si="2"/>
        <v>1328</v>
      </c>
      <c r="AF12" s="541">
        <f t="shared" si="3"/>
        <v>831</v>
      </c>
    </row>
    <row r="13" spans="1:32" ht="18" customHeight="1">
      <c r="A13" s="95" t="s">
        <v>1099</v>
      </c>
      <c r="B13" s="557">
        <f>+'58'!B13+'59'!B13+'60'!B13+'61'!B13</f>
        <v>3288</v>
      </c>
      <c r="C13" s="556">
        <f>+'58'!C13+'59'!C13+'60'!C13+'61'!C13</f>
        <v>3161</v>
      </c>
      <c r="D13" s="556">
        <f>+'58'!D13+'59'!D13+'60'!D13+'61'!D13</f>
        <v>3541</v>
      </c>
      <c r="E13" s="541">
        <f>+'58'!E13+'59'!E13+'60'!E13+'61'!E13</f>
        <v>3347</v>
      </c>
      <c r="F13" s="556">
        <f>+'58'!F13+'59'!F13+'60'!F13+'61'!F13</f>
        <v>1991</v>
      </c>
      <c r="G13" s="556">
        <f>+'58'!G13+'59'!G13+'60'!G13+'61'!G13</f>
        <v>2004</v>
      </c>
      <c r="H13" s="556">
        <f>+'58'!H13+'59'!H13+'60'!H13+'61'!H13</f>
        <v>1813</v>
      </c>
      <c r="I13" s="556">
        <f>+'58'!I13+'59'!I13+'60'!I13+'61'!I13</f>
        <v>1871</v>
      </c>
      <c r="J13" s="557">
        <f>+'58'!J13+'59'!J13+'60'!J13+'61'!J13</f>
        <v>0</v>
      </c>
      <c r="K13" s="556">
        <f>+'58'!K13+'59'!K13+'60'!K13+'61'!K13</f>
        <v>0</v>
      </c>
      <c r="L13" s="556">
        <f>+'58'!L13+'59'!L13+'60'!L13+'61'!L13</f>
        <v>0</v>
      </c>
      <c r="M13" s="541">
        <f>+'58'!M13+'59'!M13+'60'!M13+'61'!M13</f>
        <v>0</v>
      </c>
      <c r="N13" s="556">
        <f>+'58'!N13+'59'!N13+'60'!N13+'61'!N13</f>
        <v>0</v>
      </c>
      <c r="O13" s="556">
        <f>+'58'!O13+'59'!O13+'60'!O13+'61'!O13</f>
        <v>0</v>
      </c>
      <c r="P13" s="556">
        <f>+'58'!P13+'59'!P13+'60'!P13+'61'!P13</f>
        <v>0</v>
      </c>
      <c r="Q13" s="556">
        <f>+'58'!Q13+'59'!Q13+'60'!Q13+'61'!Q13</f>
        <v>0</v>
      </c>
      <c r="R13" s="377">
        <f>+'58'!R13+'59'!R13+'60'!R13+'61'!R13</f>
        <v>0</v>
      </c>
      <c r="S13" s="378">
        <f>+'58'!S13+'59'!S13+'60'!S13+'61'!S13</f>
        <v>0</v>
      </c>
      <c r="T13" s="500">
        <f>+'58'!T13+'59'!T13+'60'!T13+'61'!T13</f>
        <v>0</v>
      </c>
      <c r="U13" s="556">
        <f>+'58'!U13+'59'!U13+'60'!U13+'61'!U13</f>
        <v>0</v>
      </c>
      <c r="V13" s="556">
        <f>+'58'!V13+'59'!V13+'60'!V13+'61'!V13</f>
        <v>0</v>
      </c>
      <c r="W13" s="556">
        <f>+'58'!W13+'59'!W13+'60'!W13+'61'!W13</f>
        <v>0</v>
      </c>
      <c r="X13" s="556">
        <f>+'58'!X13+'59'!X13+'60'!X13+'61'!X13</f>
        <v>0</v>
      </c>
      <c r="Y13" s="557">
        <f>+'60'!Y13+'61'!Y13</f>
        <v>0</v>
      </c>
      <c r="Z13" s="556">
        <f>+'60'!Z13+'61'!Z13</f>
        <v>0</v>
      </c>
      <c r="AA13" s="556">
        <f>+'60'!AA13+'61'!AA13</f>
        <v>0</v>
      </c>
      <c r="AB13" s="556">
        <f>+'60'!AB13+'61'!AB13</f>
        <v>0</v>
      </c>
      <c r="AC13" s="557">
        <f t="shared" si="0"/>
        <v>5279</v>
      </c>
      <c r="AD13" s="556">
        <f t="shared" si="1"/>
        <v>5165</v>
      </c>
      <c r="AE13" s="556">
        <f t="shared" si="2"/>
        <v>5354</v>
      </c>
      <c r="AF13" s="541">
        <f t="shared" si="3"/>
        <v>5218</v>
      </c>
    </row>
    <row r="14" spans="1:32" ht="18" customHeight="1">
      <c r="A14" s="540" t="s">
        <v>1068</v>
      </c>
      <c r="B14" s="557">
        <f>+'58'!B14+'59'!B14+'60'!B14+'61'!B14</f>
        <v>0</v>
      </c>
      <c r="C14" s="556">
        <f>+'58'!C14+'59'!C14+'60'!C14+'61'!C14</f>
        <v>0</v>
      </c>
      <c r="D14" s="556">
        <f>+'58'!D14+'59'!D14+'60'!D14+'61'!D14</f>
        <v>0</v>
      </c>
      <c r="E14" s="541">
        <f>+'58'!E14+'59'!E14+'60'!E14+'61'!E14</f>
        <v>0</v>
      </c>
      <c r="F14" s="556">
        <f>+'58'!F14+'59'!F14+'60'!F14+'61'!F14</f>
        <v>760</v>
      </c>
      <c r="G14" s="556">
        <f>+'58'!G14+'59'!G14+'60'!G14+'61'!G14</f>
        <v>1092</v>
      </c>
      <c r="H14" s="556">
        <f>+'58'!H14+'59'!H14+'60'!H14+'61'!H14</f>
        <v>546</v>
      </c>
      <c r="I14" s="556">
        <f>+'58'!I14+'59'!I14+'60'!I14+'61'!I14</f>
        <v>484</v>
      </c>
      <c r="J14" s="557">
        <f>+'58'!J14+'59'!J14+'60'!J14+'61'!J14</f>
        <v>0</v>
      </c>
      <c r="K14" s="556">
        <f>+'58'!K14+'59'!K14+'60'!K14+'61'!K14</f>
        <v>0</v>
      </c>
      <c r="L14" s="556">
        <f>+'58'!L14+'59'!L14+'60'!L14+'61'!L14</f>
        <v>0</v>
      </c>
      <c r="M14" s="541">
        <f>+'58'!M14+'59'!M14+'60'!M14+'61'!M14</f>
        <v>0</v>
      </c>
      <c r="N14" s="556">
        <f>+'58'!N14+'59'!N14+'60'!N14+'61'!N14</f>
        <v>0</v>
      </c>
      <c r="O14" s="556">
        <f>+'58'!O14+'59'!O14+'60'!O14+'61'!O14</f>
        <v>0</v>
      </c>
      <c r="P14" s="556">
        <f>+'58'!P14+'59'!P14+'60'!P14+'61'!P14</f>
        <v>0</v>
      </c>
      <c r="Q14" s="556">
        <f>+'58'!Q14+'59'!Q14+'60'!Q14+'61'!Q14</f>
        <v>0</v>
      </c>
      <c r="R14" s="377">
        <f>+'58'!R14+'59'!R14+'60'!R14+'61'!R14</f>
        <v>0</v>
      </c>
      <c r="S14" s="378">
        <f>+'58'!S14+'59'!S14+'60'!S14+'61'!S14</f>
        <v>0</v>
      </c>
      <c r="T14" s="500">
        <f>+'58'!T14+'59'!T14+'60'!T14+'61'!T14</f>
        <v>0</v>
      </c>
      <c r="U14" s="556">
        <f>+'58'!U14+'59'!U14+'60'!U14+'61'!U14</f>
        <v>0</v>
      </c>
      <c r="V14" s="556">
        <f>+'58'!V14+'59'!V14+'60'!V14+'61'!V14</f>
        <v>0</v>
      </c>
      <c r="W14" s="556">
        <f>+'58'!W14+'59'!W14+'60'!W14+'61'!W14</f>
        <v>0</v>
      </c>
      <c r="X14" s="556">
        <f>+'58'!X14+'59'!X14+'60'!X14+'61'!X14</f>
        <v>0</v>
      </c>
      <c r="Y14" s="557">
        <f>+'60'!Y14+'61'!Y14</f>
        <v>0</v>
      </c>
      <c r="Z14" s="556">
        <f>+'60'!Z14+'61'!Z14</f>
        <v>0</v>
      </c>
      <c r="AA14" s="556">
        <f>+'60'!AA14+'61'!AA14</f>
        <v>0</v>
      </c>
      <c r="AB14" s="556">
        <f>+'60'!AB14+'61'!AB14</f>
        <v>0</v>
      </c>
      <c r="AC14" s="557">
        <f t="shared" si="0"/>
        <v>760</v>
      </c>
      <c r="AD14" s="556">
        <f t="shared" si="1"/>
        <v>1092</v>
      </c>
      <c r="AE14" s="556">
        <f t="shared" si="2"/>
        <v>546</v>
      </c>
      <c r="AF14" s="541">
        <f t="shared" si="3"/>
        <v>484</v>
      </c>
    </row>
    <row r="15" spans="1:32" ht="18" customHeight="1">
      <c r="A15" s="540" t="s">
        <v>1069</v>
      </c>
      <c r="B15" s="557">
        <f>+'58'!B15+'59'!B15+'60'!B15+'61'!B15</f>
        <v>733</v>
      </c>
      <c r="C15" s="556">
        <f>+'58'!C15+'59'!C15+'60'!C15+'61'!C15</f>
        <v>710</v>
      </c>
      <c r="D15" s="556">
        <f>+'58'!D15+'59'!D15+'60'!D15+'61'!D15</f>
        <v>670</v>
      </c>
      <c r="E15" s="541">
        <f>+'58'!E15+'59'!E15+'60'!E15+'61'!E15</f>
        <v>811</v>
      </c>
      <c r="F15" s="556">
        <f>+'58'!F15+'59'!F15+'60'!F15+'61'!F15</f>
        <v>1072</v>
      </c>
      <c r="G15" s="556">
        <f>+'58'!G15+'59'!G15+'60'!G15+'61'!G15</f>
        <v>557</v>
      </c>
      <c r="H15" s="556">
        <f>+'58'!H15+'59'!H15+'60'!H15+'61'!H15</f>
        <v>498</v>
      </c>
      <c r="I15" s="556">
        <f>+'58'!I15+'59'!I15+'60'!I15+'61'!I15</f>
        <v>414</v>
      </c>
      <c r="J15" s="557">
        <f>+'58'!J15+'59'!J15+'60'!J15+'61'!J15</f>
        <v>0</v>
      </c>
      <c r="K15" s="556">
        <f>+'58'!K15+'59'!K15+'60'!K15+'61'!K15</f>
        <v>0</v>
      </c>
      <c r="L15" s="556">
        <f>+'58'!L15+'59'!L15+'60'!L15+'61'!L15</f>
        <v>0</v>
      </c>
      <c r="M15" s="541">
        <f>+'58'!M15+'59'!M15+'60'!M15+'61'!M15</f>
        <v>0</v>
      </c>
      <c r="N15" s="556">
        <f>+'58'!N15+'59'!N15+'60'!N15+'61'!N15</f>
        <v>0</v>
      </c>
      <c r="O15" s="556">
        <f>+'58'!O15+'59'!O15+'60'!O15+'61'!O15</f>
        <v>0</v>
      </c>
      <c r="P15" s="556">
        <f>+'58'!P15+'59'!P15+'60'!P15+'61'!P15</f>
        <v>0</v>
      </c>
      <c r="Q15" s="556">
        <f>+'58'!Q15+'59'!Q15+'60'!Q15+'61'!Q15</f>
        <v>0</v>
      </c>
      <c r="R15" s="377">
        <f>+'58'!R15+'59'!R15+'60'!R15+'61'!R15</f>
        <v>0</v>
      </c>
      <c r="S15" s="378">
        <f>+'58'!S15+'59'!S15+'60'!S15+'61'!S15</f>
        <v>0</v>
      </c>
      <c r="T15" s="500">
        <f>+'58'!T15+'59'!T15+'60'!T15+'61'!T15</f>
        <v>0</v>
      </c>
      <c r="U15" s="556">
        <f>+'58'!U15+'59'!U15+'60'!U15+'61'!U15</f>
        <v>0</v>
      </c>
      <c r="V15" s="556">
        <f>+'58'!V15+'59'!V15+'60'!V15+'61'!V15</f>
        <v>0</v>
      </c>
      <c r="W15" s="556">
        <f>+'58'!W15+'59'!W15+'60'!W15+'61'!W15</f>
        <v>0</v>
      </c>
      <c r="X15" s="556">
        <f>+'58'!X15+'59'!X15+'60'!X15+'61'!X15</f>
        <v>0</v>
      </c>
      <c r="Y15" s="557">
        <f>+'60'!Y15+'61'!Y15</f>
        <v>0</v>
      </c>
      <c r="Z15" s="556">
        <f>+'60'!Z15+'61'!Z15</f>
        <v>0</v>
      </c>
      <c r="AA15" s="556">
        <f>+'60'!AA15+'61'!AA15</f>
        <v>0</v>
      </c>
      <c r="AB15" s="556">
        <f>+'60'!AB15+'61'!AB15</f>
        <v>0</v>
      </c>
      <c r="AC15" s="557">
        <f t="shared" si="0"/>
        <v>1805</v>
      </c>
      <c r="AD15" s="556">
        <f t="shared" si="1"/>
        <v>1267</v>
      </c>
      <c r="AE15" s="556">
        <f t="shared" si="2"/>
        <v>1168</v>
      </c>
      <c r="AF15" s="541">
        <f t="shared" si="3"/>
        <v>1225</v>
      </c>
    </row>
    <row r="16" spans="1:32" ht="18" customHeight="1">
      <c r="A16" s="540" t="s">
        <v>1070</v>
      </c>
      <c r="B16" s="557">
        <f>+'58'!B16+'59'!B16+'60'!B16+'61'!B16</f>
        <v>592</v>
      </c>
      <c r="C16" s="556">
        <f>+'58'!C16+'59'!C16+'60'!C16+'61'!C16</f>
        <v>639</v>
      </c>
      <c r="D16" s="556">
        <f>+'58'!D16+'59'!D16+'60'!D16+'61'!D16</f>
        <v>619</v>
      </c>
      <c r="E16" s="541">
        <f>+'58'!E16+'59'!E16+'60'!E16+'61'!E16</f>
        <v>754</v>
      </c>
      <c r="F16" s="556">
        <f>+'58'!F16+'59'!F16+'60'!F16+'61'!F16</f>
        <v>0</v>
      </c>
      <c r="G16" s="556">
        <f>+'58'!G16+'59'!G16+'60'!G16+'61'!G16</f>
        <v>0</v>
      </c>
      <c r="H16" s="556">
        <f>+'58'!H16+'59'!H16+'60'!H16+'61'!H16</f>
        <v>0</v>
      </c>
      <c r="I16" s="556">
        <f>+'58'!I16+'59'!I16+'60'!I16+'61'!I16</f>
        <v>0</v>
      </c>
      <c r="J16" s="557">
        <f>+'58'!J16+'59'!J16+'60'!J16+'61'!J16</f>
        <v>0</v>
      </c>
      <c r="K16" s="556">
        <f>+'58'!K16+'59'!K16+'60'!K16+'61'!K16</f>
        <v>0</v>
      </c>
      <c r="L16" s="556">
        <f>+'58'!L16+'59'!L16+'60'!L16+'61'!L16</f>
        <v>0</v>
      </c>
      <c r="M16" s="541">
        <f>+'58'!M16+'59'!M16+'60'!M16+'61'!M16</f>
        <v>0</v>
      </c>
      <c r="N16" s="556">
        <f>+'58'!N16+'59'!N16+'60'!N16+'61'!N16</f>
        <v>0</v>
      </c>
      <c r="O16" s="556">
        <f>+'58'!O16+'59'!O16+'60'!O16+'61'!O16</f>
        <v>0</v>
      </c>
      <c r="P16" s="556">
        <f>+'58'!P16+'59'!P16+'60'!P16+'61'!P16</f>
        <v>0</v>
      </c>
      <c r="Q16" s="556">
        <f>+'58'!Q16+'59'!Q16+'60'!Q16+'61'!Q16</f>
        <v>0</v>
      </c>
      <c r="R16" s="377">
        <f>+'58'!R16+'59'!R16+'60'!R16+'61'!R16</f>
        <v>0</v>
      </c>
      <c r="S16" s="378">
        <f>+'58'!S16+'59'!S16+'60'!S16+'61'!S16</f>
        <v>0</v>
      </c>
      <c r="T16" s="500">
        <f>+'58'!T16+'59'!T16+'60'!T16+'61'!T16</f>
        <v>0</v>
      </c>
      <c r="U16" s="556">
        <f>+'58'!U16+'59'!U16+'60'!U16+'61'!U16</f>
        <v>0</v>
      </c>
      <c r="V16" s="556">
        <f>+'58'!V16+'59'!V16+'60'!V16+'61'!V16</f>
        <v>0</v>
      </c>
      <c r="W16" s="556">
        <f>+'58'!W16+'59'!W16+'60'!W16+'61'!W16</f>
        <v>0</v>
      </c>
      <c r="X16" s="556">
        <f>+'58'!X16+'59'!X16+'60'!X16+'61'!X16</f>
        <v>0</v>
      </c>
      <c r="Y16" s="557">
        <f>+'60'!Y16+'61'!Y16</f>
        <v>0</v>
      </c>
      <c r="Z16" s="556">
        <f>+'60'!Z16+'61'!Z16</f>
        <v>0</v>
      </c>
      <c r="AA16" s="556">
        <f>+'60'!AA16+'61'!AA16</f>
        <v>0</v>
      </c>
      <c r="AB16" s="556">
        <f>+'60'!AB16+'61'!AB16</f>
        <v>0</v>
      </c>
      <c r="AC16" s="557">
        <f t="shared" si="0"/>
        <v>592</v>
      </c>
      <c r="AD16" s="556">
        <f t="shared" si="1"/>
        <v>639</v>
      </c>
      <c r="AE16" s="556">
        <f t="shared" si="2"/>
        <v>619</v>
      </c>
      <c r="AF16" s="541">
        <f t="shared" si="3"/>
        <v>754</v>
      </c>
    </row>
    <row r="17" spans="1:34" ht="18" customHeight="1">
      <c r="A17" s="540" t="s">
        <v>1071</v>
      </c>
      <c r="B17" s="557">
        <f>+'58'!B17+'59'!B17+'60'!B17+'61'!B17</f>
        <v>1214</v>
      </c>
      <c r="C17" s="556">
        <f>+'58'!C17+'59'!C17+'60'!C17+'61'!C17</f>
        <v>1080</v>
      </c>
      <c r="D17" s="556">
        <f>+'58'!D17+'59'!D17+'60'!D17+'61'!D17</f>
        <v>1183</v>
      </c>
      <c r="E17" s="541">
        <f>+'58'!E17+'59'!E17+'60'!E17+'61'!E17</f>
        <v>1241</v>
      </c>
      <c r="F17" s="556">
        <f>+'58'!F17+'59'!F17+'60'!F17+'61'!F17</f>
        <v>0</v>
      </c>
      <c r="G17" s="556">
        <f>+'58'!G17+'59'!G17+'60'!G17+'61'!G17</f>
        <v>0</v>
      </c>
      <c r="H17" s="556">
        <f>+'58'!H17+'59'!H17+'60'!H17+'61'!H17</f>
        <v>0</v>
      </c>
      <c r="I17" s="556">
        <f>+'58'!I17+'59'!I17+'60'!I17+'61'!I17</f>
        <v>0</v>
      </c>
      <c r="J17" s="557">
        <f>+'58'!J17+'59'!J17+'60'!J17+'61'!J17</f>
        <v>0</v>
      </c>
      <c r="K17" s="556">
        <f>+'58'!K17+'59'!K17+'60'!K17+'61'!K17</f>
        <v>0</v>
      </c>
      <c r="L17" s="556">
        <f>+'58'!L17+'59'!L17+'60'!L17+'61'!L17</f>
        <v>0</v>
      </c>
      <c r="M17" s="541">
        <f>+'58'!M17+'59'!M17+'60'!M17+'61'!M17</f>
        <v>0</v>
      </c>
      <c r="N17" s="556">
        <f>+'58'!N17+'59'!N17+'60'!N17+'61'!N17</f>
        <v>0</v>
      </c>
      <c r="O17" s="556">
        <f>+'58'!O17+'59'!O17+'60'!O17+'61'!O17</f>
        <v>0</v>
      </c>
      <c r="P17" s="556">
        <f>+'58'!P17+'59'!P17+'60'!P17+'61'!P17</f>
        <v>0</v>
      </c>
      <c r="Q17" s="556">
        <f>+'58'!Q17+'59'!Q17+'60'!Q17+'61'!Q17</f>
        <v>0</v>
      </c>
      <c r="R17" s="377">
        <f>+'58'!R17+'59'!R17+'60'!R17+'61'!R17</f>
        <v>0</v>
      </c>
      <c r="S17" s="378">
        <f>+'58'!S17+'59'!S17+'60'!S17+'61'!S17</f>
        <v>0</v>
      </c>
      <c r="T17" s="500">
        <f>+'58'!T17+'59'!T17+'60'!T17+'61'!T17</f>
        <v>0</v>
      </c>
      <c r="U17" s="556">
        <f>+'58'!U17+'59'!U17+'60'!U17+'61'!U17</f>
        <v>0</v>
      </c>
      <c r="V17" s="556">
        <f>+'58'!V17+'59'!V17+'60'!V17+'61'!V17</f>
        <v>0</v>
      </c>
      <c r="W17" s="556">
        <f>+'58'!W17+'59'!W17+'60'!W17+'61'!W17</f>
        <v>0</v>
      </c>
      <c r="X17" s="556">
        <f>+'58'!X17+'59'!X17+'60'!X17+'61'!X17</f>
        <v>0</v>
      </c>
      <c r="Y17" s="557">
        <f>+'60'!Y17+'61'!Y17</f>
        <v>0</v>
      </c>
      <c r="Z17" s="556">
        <f>+'60'!Z17+'61'!Z17</f>
        <v>0</v>
      </c>
      <c r="AA17" s="556">
        <f>+'60'!AA17+'61'!AA17</f>
        <v>0</v>
      </c>
      <c r="AB17" s="556">
        <f>+'60'!AB17+'61'!AB17</f>
        <v>0</v>
      </c>
      <c r="AC17" s="557">
        <f t="shared" si="0"/>
        <v>1214</v>
      </c>
      <c r="AD17" s="556">
        <f t="shared" si="1"/>
        <v>1080</v>
      </c>
      <c r="AE17" s="556">
        <f t="shared" si="2"/>
        <v>1183</v>
      </c>
      <c r="AF17" s="541">
        <f t="shared" si="3"/>
        <v>1241</v>
      </c>
    </row>
    <row r="18" spans="1:34" ht="18" customHeight="1">
      <c r="A18" s="540" t="s">
        <v>1072</v>
      </c>
      <c r="B18" s="557">
        <f>+'58'!B18+'59'!B18+'60'!B18+'61'!B18</f>
        <v>0</v>
      </c>
      <c r="C18" s="556">
        <f>+'58'!C18+'59'!C18+'60'!C18+'61'!C18</f>
        <v>0</v>
      </c>
      <c r="D18" s="556">
        <f>+'58'!D18+'59'!D18+'60'!D18+'61'!D18</f>
        <v>0</v>
      </c>
      <c r="E18" s="541">
        <f>+'58'!E18+'59'!E18+'60'!E18+'61'!E18</f>
        <v>0</v>
      </c>
      <c r="F18" s="556">
        <f>+'58'!F18+'59'!F18+'60'!F18+'61'!F18</f>
        <v>3329</v>
      </c>
      <c r="G18" s="556">
        <f>+'58'!G18+'59'!G18+'60'!G18+'61'!G18</f>
        <v>2722</v>
      </c>
      <c r="H18" s="556">
        <f>+'58'!H18+'59'!H18+'60'!H18+'61'!H18</f>
        <v>2129</v>
      </c>
      <c r="I18" s="556">
        <f>+'58'!I18+'59'!I18+'60'!I18+'61'!I18</f>
        <v>1897</v>
      </c>
      <c r="J18" s="557">
        <f>+'58'!J18+'59'!J18+'60'!J18+'61'!J18</f>
        <v>0</v>
      </c>
      <c r="K18" s="556">
        <f>+'58'!K18+'59'!K18+'60'!K18+'61'!K18</f>
        <v>0</v>
      </c>
      <c r="L18" s="556">
        <f>+'58'!L18+'59'!L18+'60'!L18+'61'!L18</f>
        <v>0</v>
      </c>
      <c r="M18" s="541">
        <f>+'58'!M18+'59'!M18+'60'!M18+'61'!M18</f>
        <v>0</v>
      </c>
      <c r="N18" s="556">
        <f>+'58'!N18+'59'!N18+'60'!N18+'61'!N18</f>
        <v>0</v>
      </c>
      <c r="O18" s="556">
        <f>+'58'!O18+'59'!O18+'60'!O18+'61'!O18</f>
        <v>0</v>
      </c>
      <c r="P18" s="556">
        <f>+'58'!P18+'59'!P18+'60'!P18+'61'!P18</f>
        <v>0</v>
      </c>
      <c r="Q18" s="556">
        <f>+'58'!Q18+'59'!Q18+'60'!Q18+'61'!Q18</f>
        <v>0</v>
      </c>
      <c r="R18" s="377">
        <f>+'58'!R18+'59'!R18+'60'!R18+'61'!R18</f>
        <v>0</v>
      </c>
      <c r="S18" s="378">
        <f>+'58'!S18+'59'!S18+'60'!S18+'61'!S18</f>
        <v>0</v>
      </c>
      <c r="T18" s="500">
        <f>+'58'!T18+'59'!T18+'60'!T18+'61'!T18</f>
        <v>0</v>
      </c>
      <c r="U18" s="556">
        <f>+'58'!U18+'59'!U18+'60'!U18+'61'!U18</f>
        <v>0</v>
      </c>
      <c r="V18" s="556">
        <f>+'58'!V18+'59'!V18+'60'!V18+'61'!V18</f>
        <v>0</v>
      </c>
      <c r="W18" s="556">
        <f>+'58'!W18+'59'!W18+'60'!W18+'61'!W18</f>
        <v>0</v>
      </c>
      <c r="X18" s="556">
        <f>+'58'!X18+'59'!X18+'60'!X18+'61'!X18</f>
        <v>0</v>
      </c>
      <c r="Y18" s="557">
        <f>+'60'!Y18+'61'!Y18</f>
        <v>0</v>
      </c>
      <c r="Z18" s="556">
        <f>+'60'!Z18+'61'!Z18</f>
        <v>0</v>
      </c>
      <c r="AA18" s="556">
        <f>+'60'!AA18+'61'!AA18</f>
        <v>0</v>
      </c>
      <c r="AB18" s="556">
        <f>+'60'!AB18+'61'!AB18</f>
        <v>0</v>
      </c>
      <c r="AC18" s="557">
        <f t="shared" si="0"/>
        <v>3329</v>
      </c>
      <c r="AD18" s="556">
        <f t="shared" si="1"/>
        <v>2722</v>
      </c>
      <c r="AE18" s="556">
        <f t="shared" si="2"/>
        <v>2129</v>
      </c>
      <c r="AF18" s="541">
        <f t="shared" si="3"/>
        <v>1897</v>
      </c>
    </row>
    <row r="19" spans="1:34" ht="18" customHeight="1">
      <c r="A19" s="95" t="s">
        <v>1073</v>
      </c>
      <c r="B19" s="557">
        <f>+'58'!B19+'59'!B19+'60'!B19+'61'!B19</f>
        <v>0</v>
      </c>
      <c r="C19" s="556">
        <f>+'58'!C19+'59'!C19+'60'!C19+'61'!C19</f>
        <v>0</v>
      </c>
      <c r="D19" s="556">
        <f>+'58'!D19+'59'!D19+'60'!D19+'61'!D19</f>
        <v>0</v>
      </c>
      <c r="E19" s="541">
        <f>+'58'!E19+'59'!E19+'60'!E19+'61'!E19</f>
        <v>0</v>
      </c>
      <c r="F19" s="556">
        <f>+'58'!F19+'59'!F19+'60'!F19+'61'!F19</f>
        <v>4713</v>
      </c>
      <c r="G19" s="556">
        <f>+'58'!G19+'59'!G19+'60'!G19+'61'!G19</f>
        <v>4237</v>
      </c>
      <c r="H19" s="556">
        <f>+'58'!H19+'59'!H19+'60'!H19+'61'!H19</f>
        <v>4469</v>
      </c>
      <c r="I19" s="556">
        <f>+'58'!I19+'59'!I19+'60'!I19+'61'!I19</f>
        <v>4218</v>
      </c>
      <c r="J19" s="557">
        <f>+'58'!J19+'59'!J19+'60'!J19+'61'!J19</f>
        <v>0</v>
      </c>
      <c r="K19" s="556">
        <f>+'58'!K19+'59'!K19+'60'!K19+'61'!K19</f>
        <v>0</v>
      </c>
      <c r="L19" s="556">
        <f>+'58'!L19+'59'!L19+'60'!L19+'61'!L19</f>
        <v>0</v>
      </c>
      <c r="M19" s="541">
        <f>+'58'!M19+'59'!M19+'60'!M19+'61'!M19</f>
        <v>0</v>
      </c>
      <c r="N19" s="556">
        <f>+'58'!N19+'59'!N19+'60'!N19+'61'!N19</f>
        <v>0</v>
      </c>
      <c r="O19" s="556">
        <f>+'58'!O19+'59'!O19+'60'!O19+'61'!O19</f>
        <v>0</v>
      </c>
      <c r="P19" s="556">
        <f>+'58'!P19+'59'!P19+'60'!P19+'61'!P19</f>
        <v>0</v>
      </c>
      <c r="Q19" s="556">
        <f>+'58'!Q19+'59'!Q19+'60'!Q19+'61'!Q19</f>
        <v>0</v>
      </c>
      <c r="R19" s="377">
        <f>+'58'!R19+'59'!R19+'60'!R19+'61'!R19</f>
        <v>0</v>
      </c>
      <c r="S19" s="378">
        <f>+'58'!S19+'59'!S19+'60'!S19+'61'!S19</f>
        <v>0</v>
      </c>
      <c r="T19" s="500">
        <f>+'58'!T19+'59'!T19+'60'!T19+'61'!T19</f>
        <v>0</v>
      </c>
      <c r="U19" s="556">
        <f>+'58'!U19+'59'!U19+'60'!U19+'61'!U19</f>
        <v>0</v>
      </c>
      <c r="V19" s="556">
        <f>+'58'!V19+'59'!V19+'60'!V19+'61'!V19</f>
        <v>0</v>
      </c>
      <c r="W19" s="556">
        <f>+'58'!W19+'59'!W19+'60'!W19+'61'!W19</f>
        <v>0</v>
      </c>
      <c r="X19" s="556">
        <f>+'58'!X19+'59'!X19+'60'!X19+'61'!X19</f>
        <v>0</v>
      </c>
      <c r="Y19" s="557">
        <f>+'60'!Y19+'61'!Y19</f>
        <v>0</v>
      </c>
      <c r="Z19" s="556">
        <f>+'60'!Z19+'61'!Z19</f>
        <v>0</v>
      </c>
      <c r="AA19" s="556">
        <f>+'60'!AA19+'61'!AA19</f>
        <v>0</v>
      </c>
      <c r="AB19" s="556">
        <f>+'60'!AB19+'61'!AB19</f>
        <v>0</v>
      </c>
      <c r="AC19" s="557">
        <f t="shared" si="0"/>
        <v>4713</v>
      </c>
      <c r="AD19" s="556">
        <f t="shared" si="1"/>
        <v>4237</v>
      </c>
      <c r="AE19" s="556">
        <f t="shared" si="2"/>
        <v>4469</v>
      </c>
      <c r="AF19" s="541">
        <f t="shared" si="3"/>
        <v>4218</v>
      </c>
    </row>
    <row r="20" spans="1:34" ht="18" customHeight="1">
      <c r="A20" s="95" t="s">
        <v>1074</v>
      </c>
      <c r="B20" s="557">
        <f>+'58'!B20+'59'!B20+'60'!B20+'61'!B20</f>
        <v>0</v>
      </c>
      <c r="C20" s="556">
        <f>+'58'!C20+'59'!C20+'60'!C20+'61'!C20</f>
        <v>0</v>
      </c>
      <c r="D20" s="556">
        <f>+'58'!D20+'59'!D20+'60'!D20+'61'!D20</f>
        <v>0</v>
      </c>
      <c r="E20" s="541">
        <f>+'58'!E20+'59'!E20+'60'!E20+'61'!E20</f>
        <v>0</v>
      </c>
      <c r="F20" s="556">
        <f>+'58'!F20+'59'!F20+'60'!F20+'61'!F20</f>
        <v>306</v>
      </c>
      <c r="G20" s="556">
        <f>+'58'!G20+'59'!G20+'60'!G20+'61'!G20</f>
        <v>463</v>
      </c>
      <c r="H20" s="556">
        <f>+'58'!H20+'59'!H20+'60'!H20+'61'!H20</f>
        <v>433</v>
      </c>
      <c r="I20" s="556">
        <f>+'58'!I20+'59'!I20+'60'!I20+'61'!I20</f>
        <v>408</v>
      </c>
      <c r="J20" s="557">
        <f>+'58'!J20+'59'!J20+'60'!J20+'61'!J20</f>
        <v>0</v>
      </c>
      <c r="K20" s="556">
        <f>+'58'!K20+'59'!K20+'60'!K20+'61'!K20</f>
        <v>0</v>
      </c>
      <c r="L20" s="556">
        <f>+'58'!L20+'59'!L20+'60'!L20+'61'!L20</f>
        <v>0</v>
      </c>
      <c r="M20" s="541">
        <f>+'58'!M20+'59'!M20+'60'!M20+'61'!M20</f>
        <v>0</v>
      </c>
      <c r="N20" s="556">
        <f>+'58'!N20+'59'!N20+'60'!N20+'61'!N20</f>
        <v>0</v>
      </c>
      <c r="O20" s="556">
        <f>+'58'!O20+'59'!O20+'60'!O20+'61'!O20</f>
        <v>0</v>
      </c>
      <c r="P20" s="556">
        <f>+'58'!P20+'59'!P20+'60'!P20+'61'!P20</f>
        <v>0</v>
      </c>
      <c r="Q20" s="556">
        <f>+'58'!Q20+'59'!Q20+'60'!Q20+'61'!Q20</f>
        <v>0</v>
      </c>
      <c r="R20" s="377">
        <f>+'58'!R20+'59'!R20+'60'!R20+'61'!R20</f>
        <v>0</v>
      </c>
      <c r="S20" s="378">
        <f>+'58'!S20+'59'!S20+'60'!S20+'61'!S20</f>
        <v>0</v>
      </c>
      <c r="T20" s="500">
        <f>+'58'!T20+'59'!T20+'60'!T20+'61'!T20</f>
        <v>0</v>
      </c>
      <c r="U20" s="556">
        <f>+'58'!U20+'59'!U20+'60'!U20+'61'!U20</f>
        <v>0</v>
      </c>
      <c r="V20" s="556">
        <f>+'58'!V20+'59'!V20+'60'!V20+'61'!V20</f>
        <v>0</v>
      </c>
      <c r="W20" s="556">
        <f>+'58'!W20+'59'!W20+'60'!W20+'61'!W20</f>
        <v>0</v>
      </c>
      <c r="X20" s="556">
        <f>+'58'!X20+'59'!X20+'60'!X20+'61'!X20</f>
        <v>0</v>
      </c>
      <c r="Y20" s="557">
        <f>+'60'!Y20+'61'!Y20</f>
        <v>0</v>
      </c>
      <c r="Z20" s="556">
        <f>+'60'!Z20+'61'!Z20</f>
        <v>0</v>
      </c>
      <c r="AA20" s="556">
        <f>+'60'!AA20+'61'!AA20</f>
        <v>0</v>
      </c>
      <c r="AB20" s="556">
        <f>+'60'!AB20+'61'!AB20</f>
        <v>0</v>
      </c>
      <c r="AC20" s="557">
        <f t="shared" si="0"/>
        <v>306</v>
      </c>
      <c r="AD20" s="556">
        <f t="shared" si="1"/>
        <v>463</v>
      </c>
      <c r="AE20" s="556">
        <f t="shared" si="2"/>
        <v>433</v>
      </c>
      <c r="AF20" s="541">
        <f t="shared" si="3"/>
        <v>408</v>
      </c>
    </row>
    <row r="21" spans="1:34" ht="18" customHeight="1">
      <c r="A21" s="1077" t="s">
        <v>863</v>
      </c>
      <c r="B21" s="557">
        <f>+'58'!B21+'59'!B21+'60'!B21+'61'!B21</f>
        <v>0</v>
      </c>
      <c r="C21" s="556">
        <f>+'58'!C21+'59'!C21+'60'!C21+'61'!C21</f>
        <v>0</v>
      </c>
      <c r="D21" s="556">
        <f>+'58'!D21+'59'!D21+'60'!D21+'61'!D21</f>
        <v>0</v>
      </c>
      <c r="E21" s="541">
        <f>+'58'!E21+'59'!E21+'60'!E21+'61'!E21</f>
        <v>0</v>
      </c>
      <c r="F21" s="556">
        <f>+'58'!F21+'59'!F21+'60'!F21+'61'!F21</f>
        <v>304</v>
      </c>
      <c r="G21" s="556">
        <f>+'58'!G21+'59'!G21+'60'!G21+'61'!G21</f>
        <v>334</v>
      </c>
      <c r="H21" s="556">
        <f>+'58'!H21+'59'!H21+'60'!H21+'61'!H21</f>
        <v>402</v>
      </c>
      <c r="I21" s="556">
        <f>+'58'!I21+'59'!I21+'60'!I21+'61'!I21</f>
        <v>521</v>
      </c>
      <c r="J21" s="557">
        <f>+'58'!J21+'59'!J21+'60'!J21+'61'!J21</f>
        <v>0</v>
      </c>
      <c r="K21" s="556">
        <f>+'58'!K21+'59'!K21+'60'!K21+'61'!K21</f>
        <v>0</v>
      </c>
      <c r="L21" s="556">
        <f>+'58'!L21+'59'!L21+'60'!L21+'61'!L21</f>
        <v>0</v>
      </c>
      <c r="M21" s="541">
        <f>+'58'!M21+'59'!M21+'60'!M21+'61'!M21</f>
        <v>0</v>
      </c>
      <c r="N21" s="556">
        <f>+'58'!N21+'59'!N21+'60'!N21+'61'!N21</f>
        <v>0</v>
      </c>
      <c r="O21" s="556">
        <f>+'58'!O21+'59'!O21+'60'!O21+'61'!O21</f>
        <v>0</v>
      </c>
      <c r="P21" s="556">
        <f>+'58'!P21+'59'!P21+'60'!P21+'61'!P21</f>
        <v>0</v>
      </c>
      <c r="Q21" s="556">
        <f>+'58'!Q21+'59'!Q21+'60'!Q21+'61'!Q21</f>
        <v>0</v>
      </c>
      <c r="R21" s="377">
        <f>+'58'!R21+'59'!R21+'60'!R21+'61'!R21</f>
        <v>0</v>
      </c>
      <c r="S21" s="378">
        <f>+'58'!S21+'59'!S21+'60'!S21+'61'!S21</f>
        <v>0</v>
      </c>
      <c r="T21" s="500">
        <f>+'58'!T21+'59'!T21+'60'!T21+'61'!T21</f>
        <v>0</v>
      </c>
      <c r="U21" s="556">
        <f>+'58'!U21+'59'!U21+'60'!U21+'61'!U21</f>
        <v>0</v>
      </c>
      <c r="V21" s="556">
        <f>+'58'!V21+'59'!V21+'60'!V21+'61'!V21</f>
        <v>0</v>
      </c>
      <c r="W21" s="556">
        <f>+'58'!W21+'59'!W21+'60'!W21+'61'!W21</f>
        <v>0</v>
      </c>
      <c r="X21" s="556">
        <f>+'58'!X21+'59'!X21+'60'!X21+'61'!X21</f>
        <v>0</v>
      </c>
      <c r="Y21" s="557">
        <f>+'60'!Y21+'61'!Y21</f>
        <v>0</v>
      </c>
      <c r="Z21" s="556">
        <f>+'60'!Z21+'61'!Z21</f>
        <v>0</v>
      </c>
      <c r="AA21" s="556">
        <f>+'60'!AA21+'61'!AA21</f>
        <v>0</v>
      </c>
      <c r="AB21" s="556">
        <f>+'60'!AB21+'61'!AB21</f>
        <v>0</v>
      </c>
      <c r="AC21" s="557">
        <f>+N21+J21+F21+B21+U21+Y21</f>
        <v>304</v>
      </c>
      <c r="AD21" s="556">
        <f t="shared" si="1"/>
        <v>334</v>
      </c>
      <c r="AE21" s="556">
        <f t="shared" si="2"/>
        <v>402</v>
      </c>
      <c r="AF21" s="541">
        <f t="shared" si="3"/>
        <v>521</v>
      </c>
    </row>
    <row r="22" spans="1:34" ht="18" customHeight="1">
      <c r="A22" s="95" t="s">
        <v>1075</v>
      </c>
      <c r="B22" s="557">
        <f>+'58'!B22+'59'!B22+'60'!B22+'61'!B22</f>
        <v>7149</v>
      </c>
      <c r="C22" s="556">
        <f>+'58'!C22+'59'!C22+'60'!C22+'61'!C22</f>
        <v>7409</v>
      </c>
      <c r="D22" s="556">
        <f>+'58'!D22+'59'!D22+'60'!D22+'61'!D22</f>
        <v>7502</v>
      </c>
      <c r="E22" s="541">
        <f>+'58'!E22+'59'!E22+'60'!E22+'61'!E22</f>
        <v>7177</v>
      </c>
      <c r="F22" s="556">
        <f>+'58'!F22+'59'!F22+'60'!F22+'61'!F22</f>
        <v>262</v>
      </c>
      <c r="G22" s="556">
        <f>+'58'!G22+'59'!G22+'60'!G22+'61'!G22</f>
        <v>181</v>
      </c>
      <c r="H22" s="556">
        <f>+'58'!H22+'59'!H22+'60'!H22+'61'!H22</f>
        <v>221</v>
      </c>
      <c r="I22" s="556">
        <f>+'58'!I22+'59'!I22+'60'!I22+'61'!I22</f>
        <v>221</v>
      </c>
      <c r="J22" s="557">
        <f>+'58'!J22+'59'!J22+'60'!J22+'61'!J22</f>
        <v>0</v>
      </c>
      <c r="K22" s="556">
        <f>+'58'!K22+'59'!K22+'60'!K22+'61'!K22</f>
        <v>0</v>
      </c>
      <c r="L22" s="556">
        <f>+'58'!L22+'59'!L22+'60'!L22+'61'!L22</f>
        <v>0</v>
      </c>
      <c r="M22" s="541">
        <f>+'58'!M22+'59'!M22+'60'!M22+'61'!M22</f>
        <v>0</v>
      </c>
      <c r="N22" s="556">
        <f>+'58'!N22+'59'!N22+'60'!N22+'61'!N22</f>
        <v>0</v>
      </c>
      <c r="O22" s="556">
        <f>+'58'!O22+'59'!O22+'60'!O22+'61'!O22</f>
        <v>0</v>
      </c>
      <c r="P22" s="556">
        <f>+'58'!P22+'59'!P22+'60'!P22+'61'!P22</f>
        <v>0</v>
      </c>
      <c r="Q22" s="556">
        <f>+'58'!Q22+'59'!Q22+'60'!Q22+'61'!Q22</f>
        <v>0</v>
      </c>
      <c r="R22" s="377">
        <f>+'58'!R22+'59'!R22+'60'!R22+'61'!R22</f>
        <v>0</v>
      </c>
      <c r="S22" s="378">
        <f>+'58'!S22+'59'!S22+'60'!S22+'61'!S22</f>
        <v>0</v>
      </c>
      <c r="T22" s="500">
        <f>+'58'!T22+'59'!T22+'60'!T22+'61'!T22</f>
        <v>0</v>
      </c>
      <c r="U22" s="556">
        <f>+'58'!U22+'59'!U22+'60'!U22+'61'!U22</f>
        <v>0</v>
      </c>
      <c r="V22" s="556">
        <f>+'58'!V22+'59'!V22+'60'!V22+'61'!V22</f>
        <v>0</v>
      </c>
      <c r="W22" s="556">
        <f>+'58'!W22+'59'!W22+'60'!W22+'61'!W22</f>
        <v>0</v>
      </c>
      <c r="X22" s="556">
        <f>+'58'!X22+'59'!X22+'60'!X22+'61'!X22</f>
        <v>0</v>
      </c>
      <c r="Y22" s="557">
        <f>+'60'!Y22+'61'!Y22</f>
        <v>0</v>
      </c>
      <c r="Z22" s="556">
        <f>+'60'!Z22+'61'!Z22</f>
        <v>0</v>
      </c>
      <c r="AA22" s="556">
        <f>+'60'!AA22+'61'!AA22</f>
        <v>0</v>
      </c>
      <c r="AB22" s="556">
        <f>+'60'!AB22+'61'!AB22</f>
        <v>0</v>
      </c>
      <c r="AC22" s="557">
        <f t="shared" si="0"/>
        <v>7411</v>
      </c>
      <c r="AD22" s="556">
        <f t="shared" si="1"/>
        <v>7590</v>
      </c>
      <c r="AE22" s="556">
        <f t="shared" si="2"/>
        <v>7723</v>
      </c>
      <c r="AF22" s="541">
        <f t="shared" si="3"/>
        <v>7398</v>
      </c>
    </row>
    <row r="23" spans="1:34" ht="18" customHeight="1">
      <c r="A23" s="95" t="s">
        <v>1076</v>
      </c>
      <c r="B23" s="557">
        <f>+'58'!B23+'59'!B23+'60'!B23+'61'!B23</f>
        <v>0</v>
      </c>
      <c r="C23" s="556">
        <f>+'58'!C23+'59'!C23+'60'!C23+'61'!C23</f>
        <v>0</v>
      </c>
      <c r="D23" s="556">
        <f>+'58'!D23+'59'!D23+'60'!D23+'61'!D23</f>
        <v>0</v>
      </c>
      <c r="E23" s="541">
        <f>+'58'!E23+'59'!E23+'60'!E23+'61'!E23</f>
        <v>0</v>
      </c>
      <c r="F23" s="556">
        <f>+'58'!F23+'59'!F23+'60'!F23+'61'!F23</f>
        <v>0</v>
      </c>
      <c r="G23" s="556">
        <f>+'58'!G23+'59'!G23+'60'!G23+'61'!G23</f>
        <v>0</v>
      </c>
      <c r="H23" s="556">
        <f>+'58'!H23+'59'!H23+'60'!H23+'61'!H23</f>
        <v>0</v>
      </c>
      <c r="I23" s="556">
        <f>+'58'!I23+'59'!I23+'60'!I23+'61'!I23</f>
        <v>0</v>
      </c>
      <c r="J23" s="557">
        <f>+'58'!J23+'59'!J23+'60'!J23+'61'!J23</f>
        <v>0</v>
      </c>
      <c r="K23" s="556">
        <f>+'58'!K23+'59'!K23+'60'!K23+'61'!K23</f>
        <v>0</v>
      </c>
      <c r="L23" s="556">
        <f>+'58'!L23+'59'!L23+'60'!L23+'61'!L23</f>
        <v>0</v>
      </c>
      <c r="M23" s="541">
        <f>+'58'!M23+'59'!M23+'60'!M23+'61'!M23</f>
        <v>0</v>
      </c>
      <c r="N23" s="556">
        <f>+'58'!N23+'59'!N23+'60'!N23+'61'!N23</f>
        <v>5692</v>
      </c>
      <c r="O23" s="556">
        <f>+'58'!O23+'59'!O23+'60'!O23+'61'!O23</f>
        <v>5428</v>
      </c>
      <c r="P23" s="556">
        <f>+'58'!P23+'59'!P23+'60'!P23+'61'!P23</f>
        <v>4385</v>
      </c>
      <c r="Q23" s="556">
        <f>+'58'!Q23+'59'!Q23+'60'!Q23+'61'!Q23</f>
        <v>4136</v>
      </c>
      <c r="R23" s="377">
        <f>+'58'!R23+'59'!R23+'60'!R23+'61'!R23</f>
        <v>554</v>
      </c>
      <c r="S23" s="378">
        <f>+'58'!S23+'59'!S23+'60'!S23+'61'!S23</f>
        <v>673</v>
      </c>
      <c r="T23" s="500">
        <f>+'58'!T23+'59'!T23+'60'!T23+'61'!T23</f>
        <v>628</v>
      </c>
      <c r="U23" s="556">
        <f>+'58'!U23+'59'!U23+'60'!U23+'61'!U23</f>
        <v>0</v>
      </c>
      <c r="V23" s="556">
        <f>+'58'!V23+'59'!V23+'60'!V23+'61'!V23</f>
        <v>0</v>
      </c>
      <c r="W23" s="556">
        <f>+'58'!W23+'59'!W23+'60'!W23+'61'!W23</f>
        <v>0</v>
      </c>
      <c r="X23" s="556">
        <f>+'58'!X23+'59'!X23+'60'!X23+'61'!X23</f>
        <v>0</v>
      </c>
      <c r="Y23" s="557">
        <f>+'60'!Y23+'61'!Y23</f>
        <v>0</v>
      </c>
      <c r="Z23" s="556">
        <f>+'60'!Z23+'61'!Z23</f>
        <v>0</v>
      </c>
      <c r="AA23" s="556">
        <f>+'60'!AA23+'61'!AA23</f>
        <v>0</v>
      </c>
      <c r="AB23" s="556">
        <f>+'60'!AB23+'61'!AB23</f>
        <v>0</v>
      </c>
      <c r="AC23" s="557">
        <f t="shared" si="0"/>
        <v>5692</v>
      </c>
      <c r="AD23" s="556">
        <f>+O23+K23+G23+C23+R23+V23+Z23</f>
        <v>5982</v>
      </c>
      <c r="AE23" s="556">
        <f>+P23+L23+H23+D23+S23+W23+AA23</f>
        <v>5058</v>
      </c>
      <c r="AF23" s="541">
        <f>+Q23+M23+I23+E23+T23+X23+AB23</f>
        <v>4764</v>
      </c>
    </row>
    <row r="24" spans="1:34" ht="18" customHeight="1">
      <c r="A24" s="95" t="s">
        <v>1077</v>
      </c>
      <c r="B24" s="557">
        <f>+'58'!B24+'59'!B24+'60'!B24+'61'!B24</f>
        <v>11485</v>
      </c>
      <c r="C24" s="556">
        <f>+'58'!C24+'59'!C24+'60'!C24+'61'!C24</f>
        <v>11891</v>
      </c>
      <c r="D24" s="556">
        <f>+'58'!D24+'59'!D24+'60'!D24+'61'!D24</f>
        <v>10714</v>
      </c>
      <c r="E24" s="541">
        <f>+'58'!E24+'59'!E24+'60'!E24+'61'!E24</f>
        <v>10443</v>
      </c>
      <c r="F24" s="556">
        <f>+'58'!F24+'59'!F24+'60'!F24+'61'!F24</f>
        <v>7666</v>
      </c>
      <c r="G24" s="556">
        <f>+'58'!G24+'59'!G24+'60'!G24+'61'!G24</f>
        <v>6658</v>
      </c>
      <c r="H24" s="556">
        <f>+'58'!H24+'59'!H24+'60'!H24+'61'!H24</f>
        <v>6113</v>
      </c>
      <c r="I24" s="556">
        <f>+'58'!I24+'59'!I24+'60'!I24+'61'!I24</f>
        <v>5716</v>
      </c>
      <c r="J24" s="557">
        <f>+'58'!J24+'59'!J24+'60'!J24+'61'!J24</f>
        <v>0</v>
      </c>
      <c r="K24" s="556">
        <f>+'58'!K24+'59'!K24+'60'!K24+'61'!K24</f>
        <v>0</v>
      </c>
      <c r="L24" s="556">
        <f>+'58'!L24+'59'!L24+'60'!L24+'61'!L24</f>
        <v>0</v>
      </c>
      <c r="M24" s="541">
        <f>+'58'!M24+'59'!M24+'60'!M24+'61'!M24</f>
        <v>0</v>
      </c>
      <c r="N24" s="556">
        <f>+'58'!N24+'59'!N24+'60'!N24+'61'!N24</f>
        <v>0</v>
      </c>
      <c r="O24" s="556">
        <f>+'58'!O24+'59'!O24+'60'!O24+'61'!O24</f>
        <v>0</v>
      </c>
      <c r="P24" s="556">
        <f>+'58'!P24+'59'!P24+'60'!P24+'61'!P24</f>
        <v>0</v>
      </c>
      <c r="Q24" s="556">
        <f>+'58'!Q24+'59'!Q24+'60'!Q24+'61'!Q24</f>
        <v>0</v>
      </c>
      <c r="R24" s="377">
        <f>+'58'!R24+'59'!R24+'60'!R24+'61'!R24</f>
        <v>0</v>
      </c>
      <c r="S24" s="378">
        <f>+'58'!S24+'59'!S24+'60'!S24+'61'!S24</f>
        <v>0</v>
      </c>
      <c r="T24" s="500">
        <f>+'58'!T24+'59'!T24+'60'!T24+'61'!T24</f>
        <v>0</v>
      </c>
      <c r="U24" s="556">
        <f>+'58'!U24+'59'!U24+'60'!U24+'61'!U24</f>
        <v>0</v>
      </c>
      <c r="V24" s="556">
        <f>+'58'!V24+'59'!V24+'60'!V24+'61'!V24</f>
        <v>0</v>
      </c>
      <c r="W24" s="556">
        <f>+'58'!W24+'59'!W24+'60'!W24+'61'!W24</f>
        <v>0</v>
      </c>
      <c r="X24" s="556">
        <f>+'58'!X24+'59'!X24+'60'!X24+'61'!X24</f>
        <v>0</v>
      </c>
      <c r="Y24" s="557">
        <f>+'60'!Y24+'61'!Y24</f>
        <v>0</v>
      </c>
      <c r="Z24" s="556">
        <f>+'60'!Z24+'61'!Z24</f>
        <v>0</v>
      </c>
      <c r="AA24" s="556">
        <f>+'60'!AA24+'61'!AA24</f>
        <v>0</v>
      </c>
      <c r="AB24" s="556">
        <f>+'60'!AB24+'61'!AB24</f>
        <v>0</v>
      </c>
      <c r="AC24" s="557">
        <f t="shared" si="0"/>
        <v>19151</v>
      </c>
      <c r="AD24" s="556">
        <f t="shared" si="1"/>
        <v>18549</v>
      </c>
      <c r="AE24" s="556">
        <f t="shared" si="2"/>
        <v>16827</v>
      </c>
      <c r="AF24" s="541">
        <f t="shared" si="3"/>
        <v>16159</v>
      </c>
    </row>
    <row r="25" spans="1:34" ht="18" customHeight="1">
      <c r="A25" s="95" t="s">
        <v>1078</v>
      </c>
      <c r="B25" s="557">
        <f>+'58'!B25+'59'!B25+'60'!B25+'61'!B25</f>
        <v>0</v>
      </c>
      <c r="C25" s="556">
        <f>+'58'!C25+'59'!C25+'60'!C25+'61'!C25</f>
        <v>0</v>
      </c>
      <c r="D25" s="556">
        <f>+'58'!D25+'59'!D25+'60'!D25+'61'!D25</f>
        <v>0</v>
      </c>
      <c r="E25" s="541">
        <f>+'58'!E25+'59'!E25+'60'!E25+'61'!E25</f>
        <v>0</v>
      </c>
      <c r="F25" s="556">
        <f>+'58'!F25+'59'!F25+'60'!F25+'61'!F25</f>
        <v>1574</v>
      </c>
      <c r="G25" s="556">
        <f>+'58'!G25+'59'!G25+'60'!G25+'61'!G25</f>
        <v>1486</v>
      </c>
      <c r="H25" s="556">
        <f>+'58'!H25+'59'!H25+'60'!H25+'61'!H25</f>
        <v>1627</v>
      </c>
      <c r="I25" s="556">
        <f>+'58'!I25+'59'!I25+'60'!I25+'61'!I25</f>
        <v>1799</v>
      </c>
      <c r="J25" s="557">
        <f>+'58'!J25+'59'!J25+'60'!J25+'61'!J25</f>
        <v>0</v>
      </c>
      <c r="K25" s="556">
        <f>+'58'!K25+'59'!K25+'60'!K25+'61'!K25</f>
        <v>0</v>
      </c>
      <c r="L25" s="556">
        <f>+'58'!L25+'59'!L25+'60'!L25+'61'!L25</f>
        <v>0</v>
      </c>
      <c r="M25" s="541">
        <f>+'58'!M25+'59'!M25+'60'!M25+'61'!M25</f>
        <v>0</v>
      </c>
      <c r="N25" s="556">
        <f>+'58'!N25+'59'!N25+'60'!N25+'61'!N25</f>
        <v>0</v>
      </c>
      <c r="O25" s="556">
        <f>+'58'!O25+'59'!O25+'60'!O25+'61'!O25</f>
        <v>0</v>
      </c>
      <c r="P25" s="556">
        <f>+'58'!P25+'59'!P25+'60'!P25+'61'!P25</f>
        <v>0</v>
      </c>
      <c r="Q25" s="556">
        <f>+'58'!Q25+'59'!Q25+'60'!Q25+'61'!Q25</f>
        <v>0</v>
      </c>
      <c r="R25" s="377">
        <f>+'58'!R25+'59'!R25+'60'!R25+'61'!R25</f>
        <v>0</v>
      </c>
      <c r="S25" s="378">
        <f>+'58'!S25+'59'!S25+'60'!S25+'61'!S25</f>
        <v>0</v>
      </c>
      <c r="T25" s="500">
        <f>+'58'!T25+'59'!T25+'60'!T25+'61'!T25</f>
        <v>0</v>
      </c>
      <c r="U25" s="556">
        <f>+'58'!U25+'59'!U25+'60'!U25+'61'!U25</f>
        <v>0</v>
      </c>
      <c r="V25" s="556">
        <f>+'58'!V25+'59'!V25+'60'!V25+'61'!V25</f>
        <v>0</v>
      </c>
      <c r="W25" s="556">
        <f>+'58'!W25+'59'!W25+'60'!W25+'61'!W25</f>
        <v>0</v>
      </c>
      <c r="X25" s="556">
        <f>+'58'!X25+'59'!X25+'60'!X25+'61'!X25</f>
        <v>0</v>
      </c>
      <c r="Y25" s="557">
        <f>+'60'!Y25+'61'!Y25</f>
        <v>0</v>
      </c>
      <c r="Z25" s="556">
        <f>+'60'!Z25+'61'!Z25</f>
        <v>0</v>
      </c>
      <c r="AA25" s="556">
        <f>+'60'!AA25+'61'!AA25</f>
        <v>0</v>
      </c>
      <c r="AB25" s="556">
        <f>+'60'!AB25+'61'!AB25</f>
        <v>0</v>
      </c>
      <c r="AC25" s="557">
        <f t="shared" si="0"/>
        <v>1574</v>
      </c>
      <c r="AD25" s="556">
        <f t="shared" si="1"/>
        <v>1486</v>
      </c>
      <c r="AE25" s="556">
        <f t="shared" si="2"/>
        <v>1627</v>
      </c>
      <c r="AF25" s="541">
        <f t="shared" si="3"/>
        <v>1799</v>
      </c>
    </row>
    <row r="26" spans="1:34" ht="18" customHeight="1">
      <c r="A26" s="1077" t="s">
        <v>1198</v>
      </c>
      <c r="B26" s="557">
        <f>+'58'!B26+'59'!B26+'60'!B26+'61'!B26</f>
        <v>0</v>
      </c>
      <c r="C26" s="556">
        <f>+'58'!C26+'59'!C26+'60'!C26+'61'!C26</f>
        <v>0</v>
      </c>
      <c r="D26" s="556">
        <f>+'58'!D26+'59'!D26+'60'!D26+'61'!D26</f>
        <v>0</v>
      </c>
      <c r="E26" s="541">
        <f>+'58'!E26+'59'!E26+'60'!E26+'61'!E26</f>
        <v>0</v>
      </c>
      <c r="F26" s="556">
        <f>+'58'!F26+'59'!F26+'60'!F26+'61'!F26</f>
        <v>97</v>
      </c>
      <c r="G26" s="556">
        <f>+'58'!G26+'59'!G26+'60'!G26+'61'!G26</f>
        <v>0</v>
      </c>
      <c r="H26" s="556">
        <f>+'58'!H26+'59'!H26+'60'!H26+'61'!H26</f>
        <v>0</v>
      </c>
      <c r="I26" s="556">
        <f>+'58'!I26+'59'!I26+'60'!I26+'61'!I26</f>
        <v>0</v>
      </c>
      <c r="J26" s="557">
        <f>+'58'!J26+'59'!J26+'60'!J26+'61'!J26</f>
        <v>0</v>
      </c>
      <c r="K26" s="556">
        <f>+'58'!K26+'59'!K26+'60'!K26+'61'!K26</f>
        <v>0</v>
      </c>
      <c r="L26" s="556">
        <f>+'58'!L26+'59'!L26+'60'!L26+'61'!L26</f>
        <v>0</v>
      </c>
      <c r="M26" s="541">
        <f>+'58'!M26+'59'!M26+'60'!M26+'61'!M26</f>
        <v>0</v>
      </c>
      <c r="N26" s="556">
        <f>+'58'!N26+'59'!N26+'60'!N26+'61'!N26</f>
        <v>0</v>
      </c>
      <c r="O26" s="556">
        <f>+'58'!O26+'59'!O26+'60'!O26+'61'!O26</f>
        <v>0</v>
      </c>
      <c r="P26" s="556">
        <f>+'58'!P26+'59'!P26+'60'!P26+'61'!P26</f>
        <v>0</v>
      </c>
      <c r="Q26" s="556">
        <f>+'58'!Q26+'59'!Q26+'60'!Q26+'61'!Q26</f>
        <v>0</v>
      </c>
      <c r="R26" s="377">
        <f>+'58'!R26+'59'!R26+'60'!R26+'61'!R26</f>
        <v>0</v>
      </c>
      <c r="S26" s="378">
        <f>+'58'!S26+'59'!S26+'60'!S26+'61'!S26</f>
        <v>0</v>
      </c>
      <c r="T26" s="500">
        <f>+'58'!T26+'59'!T26+'60'!T26+'61'!T26</f>
        <v>0</v>
      </c>
      <c r="U26" s="556">
        <f>+'58'!U26+'59'!U26+'60'!U26+'61'!U26</f>
        <v>0</v>
      </c>
      <c r="V26" s="556">
        <f>+'58'!V26+'59'!V26+'60'!V26+'61'!V26</f>
        <v>0</v>
      </c>
      <c r="W26" s="556">
        <f>+'58'!W26+'59'!W26+'60'!W26+'61'!W26</f>
        <v>0</v>
      </c>
      <c r="X26" s="556">
        <f>+'58'!X26+'59'!X26+'60'!X26+'61'!X26</f>
        <v>0</v>
      </c>
      <c r="Y26" s="557">
        <f>+'60'!Y26+'61'!Y26</f>
        <v>0</v>
      </c>
      <c r="Z26" s="556">
        <f>+'60'!Z26+'61'!Z26</f>
        <v>0</v>
      </c>
      <c r="AA26" s="556">
        <f>+'60'!AA26+'61'!AA26</f>
        <v>0</v>
      </c>
      <c r="AB26" s="556">
        <f>+'60'!AB26+'61'!AB26</f>
        <v>0</v>
      </c>
      <c r="AC26" s="557">
        <f>+N26+J26+F26+B26+U26+Y26</f>
        <v>97</v>
      </c>
      <c r="AD26" s="556">
        <f t="shared" si="1"/>
        <v>0</v>
      </c>
      <c r="AE26" s="556">
        <f t="shared" si="2"/>
        <v>0</v>
      </c>
      <c r="AF26" s="541">
        <f t="shared" si="3"/>
        <v>0</v>
      </c>
    </row>
    <row r="27" spans="1:34" ht="18" customHeight="1">
      <c r="A27" s="95" t="s">
        <v>1079</v>
      </c>
      <c r="B27" s="557">
        <f>+'58'!B27+'59'!B27+'60'!B27+'61'!B27</f>
        <v>0</v>
      </c>
      <c r="C27" s="556">
        <f>+'58'!C27+'59'!C27+'60'!C27+'61'!C27</f>
        <v>0</v>
      </c>
      <c r="D27" s="556">
        <f>+'58'!D27+'59'!D27+'60'!D27+'61'!D27</f>
        <v>0</v>
      </c>
      <c r="E27" s="541">
        <f>+'58'!E27+'59'!E27+'60'!E27+'61'!E27</f>
        <v>0</v>
      </c>
      <c r="F27" s="556">
        <f>+'58'!F27+'59'!F27+'60'!F27+'61'!F27</f>
        <v>585</v>
      </c>
      <c r="G27" s="556">
        <f>+'58'!G27+'59'!G27+'60'!G27+'61'!G27</f>
        <v>614</v>
      </c>
      <c r="H27" s="556">
        <f>+'58'!H27+'59'!H27+'60'!H27+'61'!H27</f>
        <v>796</v>
      </c>
      <c r="I27" s="556">
        <f>+'58'!I27+'59'!I27+'60'!I27+'61'!I27</f>
        <v>1217</v>
      </c>
      <c r="J27" s="557">
        <f>+'58'!J27+'59'!J27+'60'!J27+'61'!J27</f>
        <v>0</v>
      </c>
      <c r="K27" s="556">
        <f>+'58'!K27+'59'!K27+'60'!K27+'61'!K27</f>
        <v>0</v>
      </c>
      <c r="L27" s="556">
        <f>+'58'!L27+'59'!L27+'60'!L27+'61'!L27</f>
        <v>0</v>
      </c>
      <c r="M27" s="541">
        <f>+'58'!M27+'59'!M27+'60'!M27+'61'!M27</f>
        <v>0</v>
      </c>
      <c r="N27" s="556">
        <f>+'58'!N27+'59'!N27+'60'!N27+'61'!N27</f>
        <v>0</v>
      </c>
      <c r="O27" s="556">
        <f>+'58'!O27+'59'!O27+'60'!O27+'61'!O27</f>
        <v>0</v>
      </c>
      <c r="P27" s="556">
        <f>+'58'!P27+'59'!P27+'60'!P27+'61'!P27</f>
        <v>0</v>
      </c>
      <c r="Q27" s="556">
        <f>+'58'!Q27+'59'!Q27+'60'!Q27+'61'!Q27</f>
        <v>0</v>
      </c>
      <c r="R27" s="377">
        <f>+'58'!R27+'59'!R27+'60'!R27+'61'!R27</f>
        <v>0</v>
      </c>
      <c r="S27" s="378">
        <f>+'58'!S27+'59'!S27+'60'!S27+'61'!S27</f>
        <v>0</v>
      </c>
      <c r="T27" s="500">
        <f>+'58'!T27+'59'!T27+'60'!T27+'61'!T27</f>
        <v>0</v>
      </c>
      <c r="U27" s="556">
        <f>+'58'!U27+'59'!U27+'60'!U27+'61'!U27</f>
        <v>0</v>
      </c>
      <c r="V27" s="556">
        <f>+'58'!V27+'59'!V27+'60'!V27+'61'!V27</f>
        <v>0</v>
      </c>
      <c r="W27" s="556">
        <f>+'58'!W27+'59'!W27+'60'!W27+'61'!W27</f>
        <v>0</v>
      </c>
      <c r="X27" s="556">
        <f>+'58'!X27+'59'!X27+'60'!X27+'61'!X27</f>
        <v>0</v>
      </c>
      <c r="Y27" s="557">
        <f>+'60'!Y27+'61'!Y27</f>
        <v>0</v>
      </c>
      <c r="Z27" s="556">
        <f>+'60'!Z27+'61'!Z27</f>
        <v>0</v>
      </c>
      <c r="AA27" s="556">
        <f>+'60'!AA27+'61'!AA27</f>
        <v>0</v>
      </c>
      <c r="AB27" s="556">
        <f>+'60'!AB27+'61'!AB27</f>
        <v>0</v>
      </c>
      <c r="AC27" s="557">
        <f t="shared" si="0"/>
        <v>585</v>
      </c>
      <c r="AD27" s="556">
        <f t="shared" ref="AD27:AD35" si="4">+O27+K27+G27+C27+V27+Z27</f>
        <v>614</v>
      </c>
      <c r="AE27" s="556">
        <f t="shared" ref="AE27:AE35" si="5">+P27+L27+H27+D27+W27+AA27</f>
        <v>796</v>
      </c>
      <c r="AF27" s="541">
        <f t="shared" ref="AF27:AF35" si="6">+Q27+M27+I27+E27+X27+AB27</f>
        <v>1217</v>
      </c>
    </row>
    <row r="28" spans="1:34" ht="18" customHeight="1">
      <c r="A28" s="95" t="s">
        <v>1080</v>
      </c>
      <c r="B28" s="557">
        <f>+'58'!B28+'59'!B28+'60'!B28+'61'!B28</f>
        <v>3077</v>
      </c>
      <c r="C28" s="556">
        <f>+'58'!C28+'59'!C28+'60'!C28+'61'!C28</f>
        <v>2962</v>
      </c>
      <c r="D28" s="556">
        <f>+'58'!D28+'59'!D28+'60'!D28+'61'!D28</f>
        <v>2651</v>
      </c>
      <c r="E28" s="541">
        <f>+'58'!E28+'59'!E28+'60'!E28+'61'!E28</f>
        <v>2853</v>
      </c>
      <c r="F28" s="556">
        <f>+'58'!F28+'59'!F28+'60'!F28+'61'!F28</f>
        <v>0</v>
      </c>
      <c r="G28" s="556">
        <f>+'58'!G28+'59'!G28+'60'!G28+'61'!G28</f>
        <v>0</v>
      </c>
      <c r="H28" s="556">
        <f>+'58'!H28+'59'!H28+'60'!H28+'61'!H28</f>
        <v>0</v>
      </c>
      <c r="I28" s="556">
        <f>+'58'!I28+'59'!I28+'60'!I28+'61'!I28</f>
        <v>0</v>
      </c>
      <c r="J28" s="557">
        <f>+'58'!J28+'59'!J28+'60'!J28+'61'!J28</f>
        <v>0</v>
      </c>
      <c r="K28" s="556">
        <f>+'58'!K28+'59'!K28+'60'!K28+'61'!K28</f>
        <v>0</v>
      </c>
      <c r="L28" s="556">
        <f>+'58'!L28+'59'!L28+'60'!L28+'61'!L28</f>
        <v>0</v>
      </c>
      <c r="M28" s="541">
        <f>+'58'!M28+'59'!M28+'60'!M28+'61'!M28</f>
        <v>0</v>
      </c>
      <c r="N28" s="556">
        <f>+'58'!N28+'59'!N28+'60'!N28+'61'!N28</f>
        <v>0</v>
      </c>
      <c r="O28" s="556">
        <f>+'58'!O28+'59'!O28+'60'!O28+'61'!O28</f>
        <v>0</v>
      </c>
      <c r="P28" s="556">
        <f>+'58'!P28+'59'!P28+'60'!P28+'61'!P28</f>
        <v>0</v>
      </c>
      <c r="Q28" s="556">
        <f>+'58'!Q28+'59'!Q28+'60'!Q28+'61'!Q28</f>
        <v>0</v>
      </c>
      <c r="R28" s="377">
        <f>+'58'!R28+'59'!R28+'60'!R28+'61'!R28</f>
        <v>0</v>
      </c>
      <c r="S28" s="378">
        <f>+'58'!S28+'59'!S28+'60'!S28+'61'!S28</f>
        <v>0</v>
      </c>
      <c r="T28" s="500">
        <f>+'58'!T28+'59'!T28+'60'!T28+'61'!T28</f>
        <v>0</v>
      </c>
      <c r="U28" s="556">
        <f>+'58'!U28+'59'!U28+'60'!U28+'61'!U28</f>
        <v>0</v>
      </c>
      <c r="V28" s="556">
        <f>+'58'!V28+'59'!V28+'60'!V28+'61'!V28</f>
        <v>0</v>
      </c>
      <c r="W28" s="556">
        <f>+'58'!W28+'59'!W28+'60'!W28+'61'!W28</f>
        <v>0</v>
      </c>
      <c r="X28" s="556">
        <f>+'58'!X28+'59'!X28+'60'!X28+'61'!X28</f>
        <v>0</v>
      </c>
      <c r="Y28" s="557">
        <f>+'60'!Y28+'61'!Y28</f>
        <v>0</v>
      </c>
      <c r="Z28" s="556">
        <f>+'60'!Z28+'61'!Z28</f>
        <v>0</v>
      </c>
      <c r="AA28" s="556">
        <f>+'60'!AA28+'61'!AA28</f>
        <v>0</v>
      </c>
      <c r="AB28" s="556">
        <f>+'60'!AB28+'61'!AB28</f>
        <v>0</v>
      </c>
      <c r="AC28" s="557">
        <f t="shared" si="0"/>
        <v>3077</v>
      </c>
      <c r="AD28" s="556">
        <f t="shared" si="4"/>
        <v>2962</v>
      </c>
      <c r="AE28" s="556">
        <f t="shared" si="5"/>
        <v>2651</v>
      </c>
      <c r="AF28" s="541">
        <f t="shared" si="6"/>
        <v>2853</v>
      </c>
    </row>
    <row r="29" spans="1:34" ht="18" customHeight="1">
      <c r="A29" s="95" t="s">
        <v>1081</v>
      </c>
      <c r="B29" s="557">
        <f>+'58'!B29+'59'!B29+'60'!B29+'61'!B29</f>
        <v>2779</v>
      </c>
      <c r="C29" s="556">
        <f>+'58'!C29+'59'!C29+'60'!C29+'61'!C29</f>
        <v>3037</v>
      </c>
      <c r="D29" s="556">
        <f>+'58'!D29+'59'!D29+'60'!D29+'61'!D29</f>
        <v>2611</v>
      </c>
      <c r="E29" s="541">
        <f>+'58'!E29+'59'!E29+'60'!E29+'61'!E29</f>
        <v>2559</v>
      </c>
      <c r="F29" s="556">
        <f>+'58'!F29+'59'!F29+'60'!F29+'61'!F29</f>
        <v>2741</v>
      </c>
      <c r="G29" s="556">
        <f>+'58'!G29+'59'!G29+'60'!G29+'61'!G29</f>
        <v>2708</v>
      </c>
      <c r="H29" s="556">
        <f>+'58'!H29+'59'!H29+'60'!H29+'61'!H29</f>
        <v>2839</v>
      </c>
      <c r="I29" s="556">
        <f>+'58'!I29+'59'!I29+'60'!I29+'61'!I29</f>
        <v>3153</v>
      </c>
      <c r="J29" s="557">
        <f>+'58'!J29+'59'!J29+'60'!J29+'61'!J29</f>
        <v>739</v>
      </c>
      <c r="K29" s="556">
        <f>+'58'!K29+'59'!K29+'60'!K29+'61'!K29</f>
        <v>1036</v>
      </c>
      <c r="L29" s="556">
        <f>+'58'!L29+'59'!L29+'60'!L29+'61'!L29</f>
        <v>797</v>
      </c>
      <c r="M29" s="541">
        <f>+'58'!M29+'59'!M29+'60'!M29+'61'!M29</f>
        <v>831</v>
      </c>
      <c r="N29" s="556">
        <f>+'58'!N29+'59'!N29+'60'!N29+'61'!N29</f>
        <v>0</v>
      </c>
      <c r="O29" s="556">
        <f>+'58'!O29+'59'!O29+'60'!O29+'61'!O29</f>
        <v>0</v>
      </c>
      <c r="P29" s="556">
        <f>+'58'!P29+'59'!P29+'60'!P29+'61'!P29</f>
        <v>0</v>
      </c>
      <c r="Q29" s="556">
        <f>+'58'!Q29+'59'!Q29+'60'!Q29+'61'!Q29</f>
        <v>0</v>
      </c>
      <c r="R29" s="377">
        <f>+'58'!R29+'59'!R29+'60'!R29+'61'!R29</f>
        <v>0</v>
      </c>
      <c r="S29" s="378">
        <f>+'58'!S29+'59'!S29+'60'!S29+'61'!S29</f>
        <v>0</v>
      </c>
      <c r="T29" s="500">
        <f>+'58'!T29+'59'!T29+'60'!T29+'61'!T29</f>
        <v>0</v>
      </c>
      <c r="U29" s="556">
        <f>+'58'!U29+'59'!U29+'60'!U29+'61'!U29</f>
        <v>0</v>
      </c>
      <c r="V29" s="556">
        <f>+'58'!V29+'59'!V29+'60'!V29+'61'!V29</f>
        <v>0</v>
      </c>
      <c r="W29" s="556">
        <f>+'58'!W29+'59'!W29+'60'!W29+'61'!W29</f>
        <v>0</v>
      </c>
      <c r="X29" s="556">
        <f>+'58'!X29+'59'!X29+'60'!X29+'61'!X29</f>
        <v>0</v>
      </c>
      <c r="Y29" s="557">
        <f>+'60'!Y29+'61'!Y29</f>
        <v>0</v>
      </c>
      <c r="Z29" s="556">
        <f>+'60'!Z29+'61'!Z29</f>
        <v>0</v>
      </c>
      <c r="AA29" s="556">
        <f>+'60'!AA29+'61'!AA29</f>
        <v>0</v>
      </c>
      <c r="AB29" s="556">
        <f>+'60'!AB29+'61'!AB29</f>
        <v>0</v>
      </c>
      <c r="AC29" s="557">
        <f t="shared" si="0"/>
        <v>6259</v>
      </c>
      <c r="AD29" s="556">
        <f t="shared" si="4"/>
        <v>6781</v>
      </c>
      <c r="AE29" s="556">
        <f t="shared" si="5"/>
        <v>6247</v>
      </c>
      <c r="AF29" s="541">
        <f t="shared" si="6"/>
        <v>6543</v>
      </c>
      <c r="AH29" s="574"/>
    </row>
    <row r="30" spans="1:34" ht="18" customHeight="1">
      <c r="A30" s="95" t="s">
        <v>1082</v>
      </c>
      <c r="B30" s="557">
        <f>+'58'!B30+'59'!B30+'60'!B30+'61'!B30</f>
        <v>4025</v>
      </c>
      <c r="C30" s="556">
        <f>+'58'!C30+'59'!C30+'60'!C30+'61'!C30</f>
        <v>4668</v>
      </c>
      <c r="D30" s="556">
        <f>+'58'!D30+'59'!D30+'60'!D30+'61'!D30</f>
        <v>4264</v>
      </c>
      <c r="E30" s="541">
        <f>+'58'!E30+'59'!E30+'60'!E30+'61'!E30</f>
        <v>4577</v>
      </c>
      <c r="F30" s="556">
        <f>+'58'!F30+'59'!F30+'60'!F30+'61'!F30</f>
        <v>5085</v>
      </c>
      <c r="G30" s="556">
        <f>+'58'!G30+'59'!G30+'60'!G30+'61'!G30</f>
        <v>4126</v>
      </c>
      <c r="H30" s="556">
        <f>+'58'!H30+'59'!H30+'60'!H30+'61'!H30</f>
        <v>4578</v>
      </c>
      <c r="I30" s="556">
        <f>+'58'!I30+'59'!I30+'60'!I30+'61'!I30</f>
        <v>4034</v>
      </c>
      <c r="J30" s="557">
        <f>+'58'!J30+'59'!J30+'60'!J30+'61'!J30</f>
        <v>435</v>
      </c>
      <c r="K30" s="556">
        <f>+'58'!K30+'59'!K30+'60'!K30+'61'!K30</f>
        <v>666</v>
      </c>
      <c r="L30" s="556">
        <f>+'58'!L30+'59'!L30+'60'!L30+'61'!L30</f>
        <v>183</v>
      </c>
      <c r="M30" s="541">
        <f>+'58'!M30+'59'!M30+'60'!M30+'61'!M30</f>
        <v>0</v>
      </c>
      <c r="N30" s="556">
        <f>+'58'!N30+'59'!N30+'60'!N30+'61'!N30</f>
        <v>0</v>
      </c>
      <c r="O30" s="556">
        <f>+'58'!O30+'59'!O30+'60'!O30+'61'!O30</f>
        <v>0</v>
      </c>
      <c r="P30" s="556">
        <f>+'58'!P30+'59'!P30+'60'!P30+'61'!P30</f>
        <v>0</v>
      </c>
      <c r="Q30" s="556">
        <f>+'58'!Q30+'59'!Q30+'60'!Q30+'61'!Q30</f>
        <v>0</v>
      </c>
      <c r="R30" s="377">
        <f>+'58'!R30+'59'!R30+'60'!R30+'61'!R30</f>
        <v>0</v>
      </c>
      <c r="S30" s="378">
        <f>+'58'!S30+'59'!S30+'60'!S30+'61'!S30</f>
        <v>0</v>
      </c>
      <c r="T30" s="500">
        <f>+'58'!T30+'59'!T30+'60'!T30+'61'!T30</f>
        <v>0</v>
      </c>
      <c r="U30" s="556">
        <f>+'58'!U30+'59'!U30+'60'!U30+'61'!U30</f>
        <v>0</v>
      </c>
      <c r="V30" s="556">
        <f>+'58'!V30+'59'!V30+'60'!V30+'61'!V30</f>
        <v>0</v>
      </c>
      <c r="W30" s="556">
        <f>+'58'!W30+'59'!W30+'60'!W30+'61'!W30</f>
        <v>0</v>
      </c>
      <c r="X30" s="556">
        <f>+'58'!X30+'59'!X30+'60'!X30+'61'!X30</f>
        <v>0</v>
      </c>
      <c r="Y30" s="557">
        <f>+'60'!Y30+'61'!Y30</f>
        <v>0</v>
      </c>
      <c r="Z30" s="556">
        <f>+'60'!Z30+'61'!Z30</f>
        <v>0</v>
      </c>
      <c r="AA30" s="556">
        <f>+'60'!AA30+'61'!AA30</f>
        <v>0</v>
      </c>
      <c r="AB30" s="556">
        <f>+'60'!AB30+'61'!AB30</f>
        <v>0</v>
      </c>
      <c r="AC30" s="557">
        <f t="shared" si="0"/>
        <v>9545</v>
      </c>
      <c r="AD30" s="556">
        <f t="shared" si="4"/>
        <v>9460</v>
      </c>
      <c r="AE30" s="556">
        <f t="shared" si="5"/>
        <v>9025</v>
      </c>
      <c r="AF30" s="541">
        <f t="shared" si="6"/>
        <v>8611</v>
      </c>
      <c r="AH30" s="574"/>
    </row>
    <row r="31" spans="1:34" ht="18" customHeight="1">
      <c r="A31" s="95" t="s">
        <v>1083</v>
      </c>
      <c r="B31" s="557">
        <f>+'58'!B31+'59'!B31+'60'!B31+'61'!B31</f>
        <v>15080</v>
      </c>
      <c r="C31" s="556">
        <f>+'58'!C31+'59'!C31+'60'!C31+'61'!C31</f>
        <v>6160</v>
      </c>
      <c r="D31" s="556">
        <f>+'58'!D31+'59'!D31+'60'!D31+'61'!D31</f>
        <v>5448</v>
      </c>
      <c r="E31" s="541">
        <f>+'58'!E31+'59'!E31+'60'!E31+'61'!E31</f>
        <v>4392</v>
      </c>
      <c r="F31" s="556">
        <f>+'58'!F31+'59'!F31+'60'!F31+'61'!F31</f>
        <v>0</v>
      </c>
      <c r="G31" s="556">
        <f>+'58'!G31+'59'!G31+'60'!G31+'61'!G31</f>
        <v>0</v>
      </c>
      <c r="H31" s="556">
        <f>+'58'!H31+'59'!H31+'60'!H31+'61'!H31</f>
        <v>0</v>
      </c>
      <c r="I31" s="556">
        <f>+'58'!I31+'59'!I31+'60'!I31+'61'!I31</f>
        <v>0</v>
      </c>
      <c r="J31" s="557">
        <f>+'58'!J31+'59'!J31+'60'!J31+'61'!J31</f>
        <v>0</v>
      </c>
      <c r="K31" s="556">
        <f>+'58'!K31+'59'!K31+'60'!K31+'61'!K31</f>
        <v>0</v>
      </c>
      <c r="L31" s="556">
        <f>+'58'!L31+'59'!L31+'60'!L31+'61'!L31</f>
        <v>0</v>
      </c>
      <c r="M31" s="541">
        <f>+'58'!M31+'59'!M31+'60'!M31+'61'!M31</f>
        <v>0</v>
      </c>
      <c r="N31" s="556">
        <f>+'58'!N31+'59'!N31+'60'!N31+'61'!N31</f>
        <v>0</v>
      </c>
      <c r="O31" s="556">
        <f>+'58'!O31+'59'!O31+'60'!O31+'61'!O31</f>
        <v>0</v>
      </c>
      <c r="P31" s="556">
        <f>+'58'!P31+'59'!P31+'60'!P31+'61'!P31</f>
        <v>0</v>
      </c>
      <c r="Q31" s="556">
        <f>+'58'!Q31+'59'!Q31+'60'!Q31+'61'!Q31</f>
        <v>0</v>
      </c>
      <c r="R31" s="377">
        <f>+'58'!R31+'59'!R31+'60'!R31+'61'!R31</f>
        <v>0</v>
      </c>
      <c r="S31" s="378">
        <f>+'58'!S31+'59'!S31+'60'!S31+'61'!S31</f>
        <v>0</v>
      </c>
      <c r="T31" s="500">
        <f>+'58'!T31+'59'!T31+'60'!T31+'61'!T31</f>
        <v>0</v>
      </c>
      <c r="U31" s="556">
        <f>+'58'!U31+'59'!U31+'60'!U31+'61'!U31</f>
        <v>0</v>
      </c>
      <c r="V31" s="556">
        <f>+'58'!V31+'59'!V31+'60'!V31+'61'!V31</f>
        <v>0</v>
      </c>
      <c r="W31" s="556">
        <f>+'58'!W31+'59'!W31+'60'!W31+'61'!W31</f>
        <v>0</v>
      </c>
      <c r="X31" s="556">
        <f>+'58'!X31+'59'!X31+'60'!X31+'61'!X31</f>
        <v>0</v>
      </c>
      <c r="Y31" s="557">
        <f>+'60'!Y31+'61'!Y31</f>
        <v>0</v>
      </c>
      <c r="Z31" s="556">
        <f>+'60'!Z31+'61'!Z31</f>
        <v>1224</v>
      </c>
      <c r="AA31" s="556">
        <f>+'59'!AA31+'60'!AA31+'61'!AA31</f>
        <v>70</v>
      </c>
      <c r="AB31" s="556">
        <f>+'58'!AB31+'59'!AB31+'60'!AB31+'61'!AB31</f>
        <v>0</v>
      </c>
      <c r="AC31" s="557">
        <f t="shared" si="0"/>
        <v>15080</v>
      </c>
      <c r="AD31" s="556">
        <f t="shared" si="4"/>
        <v>7384</v>
      </c>
      <c r="AE31" s="556">
        <f>+P31+L31+H31+D31+W31+AA31</f>
        <v>5518</v>
      </c>
      <c r="AF31" s="541">
        <f t="shared" si="6"/>
        <v>4392</v>
      </c>
      <c r="AH31" s="574"/>
    </row>
    <row r="32" spans="1:34" ht="18" customHeight="1">
      <c r="A32" s="95" t="s">
        <v>1084</v>
      </c>
      <c r="B32" s="557">
        <f>+'58'!B32+'59'!B32+'60'!B32+'61'!B32</f>
        <v>7241</v>
      </c>
      <c r="C32" s="556">
        <f>+'58'!C32+'59'!C32+'60'!C32+'61'!C32</f>
        <v>2484</v>
      </c>
      <c r="D32" s="556">
        <f>+'58'!D32+'59'!D32+'60'!D32+'61'!D32</f>
        <v>2368</v>
      </c>
      <c r="E32" s="541">
        <f>+'58'!E32+'59'!E32+'60'!E32+'61'!E32</f>
        <v>2471</v>
      </c>
      <c r="F32" s="556">
        <f>+'58'!F32+'59'!F32+'60'!F32+'61'!F32</f>
        <v>0</v>
      </c>
      <c r="G32" s="556">
        <f>+'58'!G32+'59'!G32+'60'!G32+'61'!G32</f>
        <v>0</v>
      </c>
      <c r="H32" s="556">
        <f>+'58'!H32+'59'!H32+'60'!H32+'61'!H32</f>
        <v>0</v>
      </c>
      <c r="I32" s="556">
        <f>+'58'!I32+'59'!I32+'60'!I32+'61'!I32</f>
        <v>0</v>
      </c>
      <c r="J32" s="557">
        <f>+'58'!J32+'59'!J32+'60'!J32+'61'!J32</f>
        <v>0</v>
      </c>
      <c r="K32" s="556">
        <f>+'58'!K32+'59'!K32+'60'!K32+'61'!K32</f>
        <v>0</v>
      </c>
      <c r="L32" s="556">
        <f>+'58'!L32+'59'!L32+'60'!L32+'61'!L32</f>
        <v>0</v>
      </c>
      <c r="M32" s="541">
        <f>+'58'!M32+'59'!M32+'60'!M32+'61'!M32</f>
        <v>0</v>
      </c>
      <c r="N32" s="556">
        <f>+'58'!N32+'59'!N32+'60'!N32+'61'!N32</f>
        <v>0</v>
      </c>
      <c r="O32" s="556">
        <f>+'58'!O32+'59'!O32+'60'!O32+'61'!O32</f>
        <v>0</v>
      </c>
      <c r="P32" s="556">
        <f>+'58'!P32+'59'!P32+'60'!P32+'61'!P32</f>
        <v>0</v>
      </c>
      <c r="Q32" s="556">
        <f>+'58'!Q32+'59'!Q32+'60'!Q32+'61'!Q32</f>
        <v>0</v>
      </c>
      <c r="R32" s="377">
        <f>+'58'!R32+'59'!R32+'60'!R32+'61'!R32</f>
        <v>0</v>
      </c>
      <c r="S32" s="378">
        <f>+'58'!S32+'59'!S32+'60'!S32+'61'!S32</f>
        <v>0</v>
      </c>
      <c r="T32" s="500">
        <f>+'58'!T32+'59'!T32+'60'!T32+'61'!T32</f>
        <v>0</v>
      </c>
      <c r="U32" s="556">
        <f>+'58'!U32+'59'!U32+'60'!U32+'61'!U32</f>
        <v>0</v>
      </c>
      <c r="V32" s="556">
        <f>+'58'!V32+'59'!V32+'60'!V32+'61'!V32</f>
        <v>0</v>
      </c>
      <c r="W32" s="556">
        <f>+'58'!W32+'59'!W32+'60'!W32+'61'!W32</f>
        <v>0</v>
      </c>
      <c r="X32" s="556">
        <f>+'58'!X32+'59'!X32+'60'!X32+'61'!X32</f>
        <v>0</v>
      </c>
      <c r="Y32" s="557">
        <f>+'60'!Y32+'61'!Y32</f>
        <v>0</v>
      </c>
      <c r="Z32" s="556">
        <f>+'60'!Z32+'61'!Z32</f>
        <v>0</v>
      </c>
      <c r="AA32" s="556">
        <f>+'60'!AA32+'61'!AA32</f>
        <v>0</v>
      </c>
      <c r="AB32" s="556">
        <f>+'60'!AB32+'61'!AB32</f>
        <v>0</v>
      </c>
      <c r="AC32" s="557">
        <f t="shared" si="0"/>
        <v>7241</v>
      </c>
      <c r="AD32" s="556">
        <f t="shared" si="4"/>
        <v>2484</v>
      </c>
      <c r="AE32" s="556">
        <f t="shared" si="5"/>
        <v>2368</v>
      </c>
      <c r="AF32" s="541">
        <f t="shared" si="6"/>
        <v>2471</v>
      </c>
    </row>
    <row r="33" spans="1:33" ht="18" customHeight="1">
      <c r="A33" s="95" t="s">
        <v>1085</v>
      </c>
      <c r="B33" s="557">
        <f>+'58'!B33+'59'!B33+'60'!B33+'61'!B33</f>
        <v>0</v>
      </c>
      <c r="C33" s="556">
        <f>+'58'!C33+'59'!C33+'60'!C33+'61'!C33</f>
        <v>0</v>
      </c>
      <c r="D33" s="556">
        <f>+'58'!D33+'59'!D33+'60'!D33+'61'!D33</f>
        <v>0</v>
      </c>
      <c r="E33" s="541">
        <f>+'58'!E33+'59'!E33+'60'!E33+'61'!E33</f>
        <v>0</v>
      </c>
      <c r="F33" s="556">
        <f>+'58'!F33+'59'!F33+'60'!F33+'61'!F33</f>
        <v>11656</v>
      </c>
      <c r="G33" s="556">
        <f>+'58'!G33+'59'!G33+'60'!G33+'61'!G33</f>
        <v>11487</v>
      </c>
      <c r="H33" s="556">
        <f>+'58'!H33+'59'!H33+'60'!H33+'61'!H33</f>
        <v>11011</v>
      </c>
      <c r="I33" s="556">
        <f>+'58'!I33+'59'!I33+'60'!I33+'61'!I33</f>
        <v>10892</v>
      </c>
      <c r="J33" s="557">
        <f>+'58'!J33+'59'!J33+'60'!J33+'61'!J33</f>
        <v>0</v>
      </c>
      <c r="K33" s="556">
        <f>+'58'!K33+'59'!K33+'60'!K33+'61'!K33</f>
        <v>0</v>
      </c>
      <c r="L33" s="556">
        <f>+'58'!L33+'59'!L33+'60'!L33+'61'!L33</f>
        <v>0</v>
      </c>
      <c r="M33" s="541">
        <f>+'58'!M33+'59'!M33+'60'!M33+'61'!M33</f>
        <v>0</v>
      </c>
      <c r="N33" s="556">
        <f>+'58'!N33+'59'!N33+'60'!N33+'61'!N33</f>
        <v>0</v>
      </c>
      <c r="O33" s="556">
        <f>+'58'!O33+'59'!O33+'60'!O33+'61'!O33</f>
        <v>0</v>
      </c>
      <c r="P33" s="556">
        <f>+'58'!P33+'59'!P33+'60'!P33+'61'!P33</f>
        <v>0</v>
      </c>
      <c r="Q33" s="556">
        <f>+'58'!Q33+'59'!Q33+'60'!Q33+'61'!Q33</f>
        <v>0</v>
      </c>
      <c r="R33" s="377">
        <f>+'58'!R33+'59'!R33+'60'!R33+'61'!R33</f>
        <v>0</v>
      </c>
      <c r="S33" s="378">
        <f>+'58'!S33+'59'!S33+'60'!S33+'61'!S33</f>
        <v>0</v>
      </c>
      <c r="T33" s="500">
        <f>+'58'!T33+'59'!T33+'60'!T33+'61'!T33</f>
        <v>0</v>
      </c>
      <c r="U33" s="556">
        <f>+'58'!U33+'59'!U33+'60'!U33+'61'!U33</f>
        <v>0</v>
      </c>
      <c r="V33" s="556">
        <f>+'58'!V33+'59'!V33+'60'!V33+'61'!V33</f>
        <v>0</v>
      </c>
      <c r="W33" s="556">
        <f>+'58'!W33+'59'!W33+'60'!W33+'61'!W33</f>
        <v>0</v>
      </c>
      <c r="X33" s="556">
        <f>+'58'!X33+'59'!X33+'60'!X33+'61'!X33</f>
        <v>0</v>
      </c>
      <c r="Y33" s="557">
        <f>+'60'!Y33+'61'!Y33</f>
        <v>0</v>
      </c>
      <c r="Z33" s="556">
        <f>+'60'!Z33+'61'!Z33</f>
        <v>0</v>
      </c>
      <c r="AA33" s="556">
        <f>+'60'!AA33+'61'!AA33</f>
        <v>0</v>
      </c>
      <c r="AB33" s="556">
        <f>+'60'!AB33+'61'!AB33</f>
        <v>0</v>
      </c>
      <c r="AC33" s="557">
        <f t="shared" si="0"/>
        <v>11656</v>
      </c>
      <c r="AD33" s="556">
        <f t="shared" si="4"/>
        <v>11487</v>
      </c>
      <c r="AE33" s="556">
        <f t="shared" si="5"/>
        <v>11011</v>
      </c>
      <c r="AF33" s="541">
        <f t="shared" si="6"/>
        <v>10892</v>
      </c>
    </row>
    <row r="34" spans="1:33" ht="18" customHeight="1">
      <c r="A34" s="95" t="s">
        <v>1086</v>
      </c>
      <c r="B34" s="557">
        <f>+'58'!B34+'59'!B34+'60'!B34+'61'!B34</f>
        <v>259</v>
      </c>
      <c r="C34" s="556">
        <f>+'58'!C34+'59'!C34+'60'!C34+'61'!C34</f>
        <v>201</v>
      </c>
      <c r="D34" s="556">
        <f>+'58'!D34+'59'!D34+'60'!D34+'61'!D34</f>
        <v>128</v>
      </c>
      <c r="E34" s="541">
        <f>+'58'!E34+'59'!E34+'60'!E34+'61'!E34</f>
        <v>87</v>
      </c>
      <c r="F34" s="556">
        <f>+'58'!F34+'59'!F34+'60'!F34+'61'!F34</f>
        <v>5445</v>
      </c>
      <c r="G34" s="556">
        <f>+'58'!G34+'59'!G34+'60'!G34+'61'!G34</f>
        <v>4518</v>
      </c>
      <c r="H34" s="556">
        <f>+'58'!H34+'59'!H34+'60'!H34+'61'!H34</f>
        <v>4421</v>
      </c>
      <c r="I34" s="556">
        <f>+'58'!I34+'59'!I34+'60'!I34+'61'!I34</f>
        <v>3952</v>
      </c>
      <c r="J34" s="557">
        <f>+'58'!J34+'59'!J34+'60'!J34+'61'!J34</f>
        <v>0</v>
      </c>
      <c r="K34" s="556">
        <f>+'58'!K34+'59'!K34+'60'!K34+'61'!K34</f>
        <v>0</v>
      </c>
      <c r="L34" s="556">
        <f>+'58'!L34+'59'!L34+'60'!L34+'61'!L34</f>
        <v>0</v>
      </c>
      <c r="M34" s="541">
        <f>+'58'!M34+'59'!M34+'60'!M34+'61'!M34</f>
        <v>0</v>
      </c>
      <c r="N34" s="556">
        <f>+'58'!N34+'59'!N34+'60'!N34+'61'!N34</f>
        <v>0</v>
      </c>
      <c r="O34" s="556">
        <f>+'58'!O34+'59'!O34+'60'!O34+'61'!O34</f>
        <v>0</v>
      </c>
      <c r="P34" s="556">
        <f>+'58'!P34+'59'!P34+'60'!P34+'61'!P34</f>
        <v>0</v>
      </c>
      <c r="Q34" s="556">
        <f>+'58'!Q34+'59'!Q34+'60'!Q34+'61'!Q34</f>
        <v>0</v>
      </c>
      <c r="R34" s="377">
        <f>+'58'!R34+'59'!R34+'60'!R34+'61'!R34</f>
        <v>0</v>
      </c>
      <c r="S34" s="378">
        <f>+'58'!S34+'59'!S34+'60'!S34+'61'!S34</f>
        <v>0</v>
      </c>
      <c r="T34" s="500">
        <f>+'58'!T34+'59'!T34+'60'!T34+'61'!T34</f>
        <v>0</v>
      </c>
      <c r="U34" s="556">
        <f>+'58'!U34+'59'!U34+'60'!U34+'61'!U34</f>
        <v>0</v>
      </c>
      <c r="V34" s="556">
        <f>+'58'!V34+'59'!V34+'60'!V34+'61'!V34</f>
        <v>0</v>
      </c>
      <c r="W34" s="556">
        <f>+'58'!W34+'59'!W34+'60'!W34+'61'!W34</f>
        <v>0</v>
      </c>
      <c r="X34" s="556">
        <f>+'58'!X34+'59'!X34+'60'!X34+'61'!X34</f>
        <v>0</v>
      </c>
      <c r="Y34" s="557">
        <f>+'60'!Y34+'61'!Y34</f>
        <v>0</v>
      </c>
      <c r="Z34" s="556">
        <f>+'60'!Z34+'61'!Z34</f>
        <v>0</v>
      </c>
      <c r="AA34" s="556">
        <f>+'60'!AA34+'61'!AA34</f>
        <v>0</v>
      </c>
      <c r="AB34" s="556">
        <f>+'60'!AB34+'61'!AB34</f>
        <v>0</v>
      </c>
      <c r="AC34" s="557">
        <f t="shared" si="0"/>
        <v>5704</v>
      </c>
      <c r="AD34" s="556">
        <f t="shared" si="4"/>
        <v>4719</v>
      </c>
      <c r="AE34" s="556">
        <f t="shared" si="5"/>
        <v>4549</v>
      </c>
      <c r="AF34" s="541">
        <f t="shared" si="6"/>
        <v>4039</v>
      </c>
    </row>
    <row r="35" spans="1:33" ht="18" customHeight="1">
      <c r="A35" s="95" t="s">
        <v>1087</v>
      </c>
      <c r="B35" s="557">
        <f>+'58'!B35+'59'!B35+'60'!B35+'61'!B35</f>
        <v>970</v>
      </c>
      <c r="C35" s="556">
        <f>+'58'!C35+'59'!C35+'60'!C35+'61'!C35</f>
        <v>1338</v>
      </c>
      <c r="D35" s="556">
        <f>+'58'!D35+'59'!D35+'60'!D35+'61'!D35</f>
        <v>1211</v>
      </c>
      <c r="E35" s="541">
        <f>+'58'!E35+'59'!E35+'60'!E35+'61'!E35</f>
        <v>674</v>
      </c>
      <c r="F35" s="556">
        <f>+'58'!F35+'59'!F35+'60'!F35+'61'!F35</f>
        <v>0</v>
      </c>
      <c r="G35" s="556">
        <f>+'58'!G35+'59'!G35+'60'!G35+'61'!G35</f>
        <v>0</v>
      </c>
      <c r="H35" s="556">
        <f>+'58'!H35+'59'!H35+'60'!H35+'61'!H35</f>
        <v>0</v>
      </c>
      <c r="I35" s="556">
        <f>+'58'!I35+'59'!I35+'60'!I35+'61'!I35</f>
        <v>0</v>
      </c>
      <c r="J35" s="557">
        <f>+'58'!J35+'59'!J35+'60'!J35+'61'!J35</f>
        <v>0</v>
      </c>
      <c r="K35" s="556">
        <f>+'58'!K35+'59'!K35+'60'!K35+'61'!K35</f>
        <v>0</v>
      </c>
      <c r="L35" s="556">
        <f>+'58'!L35+'59'!L35+'60'!L35+'61'!L35</f>
        <v>0</v>
      </c>
      <c r="M35" s="541">
        <f>+'58'!M35+'59'!M35+'60'!M35+'61'!M35</f>
        <v>0</v>
      </c>
      <c r="N35" s="556">
        <f>+'58'!N35+'59'!N35+'60'!N35+'61'!N35</f>
        <v>0</v>
      </c>
      <c r="O35" s="556">
        <f>+'58'!O35+'59'!O35+'60'!O35+'61'!O35</f>
        <v>0</v>
      </c>
      <c r="P35" s="556">
        <f>+'58'!P35+'59'!P35+'60'!P35+'61'!P35</f>
        <v>0</v>
      </c>
      <c r="Q35" s="556">
        <f>+'58'!Q35+'59'!Q35+'60'!Q35+'61'!Q35</f>
        <v>0</v>
      </c>
      <c r="R35" s="377">
        <f>+'58'!R35+'59'!R35+'60'!R35+'61'!R35</f>
        <v>0</v>
      </c>
      <c r="S35" s="378">
        <f>+'58'!S35+'59'!S35+'60'!S35+'61'!S35</f>
        <v>0</v>
      </c>
      <c r="T35" s="500">
        <f>+'58'!T35+'59'!T35+'60'!T35+'61'!T35</f>
        <v>0</v>
      </c>
      <c r="U35" s="556">
        <f>+'58'!U35+'59'!U35+'60'!U35+'61'!U35</f>
        <v>0</v>
      </c>
      <c r="V35" s="556">
        <f>+'58'!V35+'59'!V35+'60'!V35+'61'!V35</f>
        <v>0</v>
      </c>
      <c r="W35" s="556">
        <f>+'58'!W35+'59'!W35+'60'!W35+'61'!W35</f>
        <v>0</v>
      </c>
      <c r="X35" s="556">
        <f>+'58'!X35+'59'!X35+'60'!X35+'61'!X35</f>
        <v>0</v>
      </c>
      <c r="Y35" s="557">
        <f>+'60'!Y35+'61'!Y35</f>
        <v>0</v>
      </c>
      <c r="Z35" s="556">
        <f>+'60'!Z35+'61'!Z35</f>
        <v>0</v>
      </c>
      <c r="AA35" s="556">
        <f>+'60'!AA35+'61'!AA35</f>
        <v>0</v>
      </c>
      <c r="AB35" s="556">
        <f>+'60'!AB35+'61'!AB35</f>
        <v>0</v>
      </c>
      <c r="AC35" s="557">
        <f t="shared" si="0"/>
        <v>970</v>
      </c>
      <c r="AD35" s="556">
        <f t="shared" si="4"/>
        <v>1338</v>
      </c>
      <c r="AE35" s="556">
        <f t="shared" si="5"/>
        <v>1211</v>
      </c>
      <c r="AF35" s="541">
        <f t="shared" si="6"/>
        <v>674</v>
      </c>
    </row>
    <row r="36" spans="1:33" ht="18" customHeight="1">
      <c r="A36" s="15" t="s">
        <v>923</v>
      </c>
      <c r="B36" s="561">
        <f t="shared" ref="B36:AF36" si="7">SUM(B9:B35)</f>
        <v>74591</v>
      </c>
      <c r="C36" s="559">
        <f t="shared" si="7"/>
        <v>63950</v>
      </c>
      <c r="D36" s="559">
        <f t="shared" si="7"/>
        <v>62307</v>
      </c>
      <c r="E36" s="560">
        <f t="shared" si="7"/>
        <v>62942</v>
      </c>
      <c r="F36" s="559">
        <f t="shared" si="7"/>
        <v>63754</v>
      </c>
      <c r="G36" s="559">
        <f t="shared" si="7"/>
        <v>57607</v>
      </c>
      <c r="H36" s="559">
        <f t="shared" si="7"/>
        <v>55582</v>
      </c>
      <c r="I36" s="559">
        <f t="shared" si="7"/>
        <v>52929</v>
      </c>
      <c r="J36" s="561">
        <f t="shared" si="7"/>
        <v>1174</v>
      </c>
      <c r="K36" s="559">
        <f t="shared" si="7"/>
        <v>1702</v>
      </c>
      <c r="L36" s="559">
        <f t="shared" si="7"/>
        <v>980</v>
      </c>
      <c r="M36" s="560">
        <f t="shared" si="7"/>
        <v>831</v>
      </c>
      <c r="N36" s="559">
        <f t="shared" si="7"/>
        <v>5692</v>
      </c>
      <c r="O36" s="559">
        <f t="shared" si="7"/>
        <v>5428</v>
      </c>
      <c r="P36" s="559">
        <f t="shared" si="7"/>
        <v>4385</v>
      </c>
      <c r="Q36" s="559">
        <f t="shared" si="7"/>
        <v>4136</v>
      </c>
      <c r="R36" s="381">
        <f>SUM(R9:R35)</f>
        <v>554</v>
      </c>
      <c r="S36" s="382">
        <f>SUM(S9:S35)</f>
        <v>673</v>
      </c>
      <c r="T36" s="543">
        <f>SUM(T9:T35)</f>
        <v>628</v>
      </c>
      <c r="U36" s="559">
        <f t="shared" si="7"/>
        <v>0</v>
      </c>
      <c r="V36" s="559">
        <f t="shared" si="7"/>
        <v>0</v>
      </c>
      <c r="W36" s="559">
        <f t="shared" si="7"/>
        <v>0</v>
      </c>
      <c r="X36" s="560">
        <f t="shared" si="7"/>
        <v>0</v>
      </c>
      <c r="Y36" s="561">
        <f t="shared" si="7"/>
        <v>0</v>
      </c>
      <c r="Z36" s="559">
        <f t="shared" si="7"/>
        <v>1224</v>
      </c>
      <c r="AA36" s="559">
        <f t="shared" si="7"/>
        <v>70</v>
      </c>
      <c r="AB36" s="560">
        <f t="shared" si="7"/>
        <v>0</v>
      </c>
      <c r="AC36" s="559">
        <f t="shared" si="7"/>
        <v>145211</v>
      </c>
      <c r="AD36" s="559">
        <f t="shared" si="7"/>
        <v>130465</v>
      </c>
      <c r="AE36" s="559">
        <f t="shared" si="7"/>
        <v>123997</v>
      </c>
      <c r="AF36" s="560">
        <f t="shared" si="7"/>
        <v>121466</v>
      </c>
    </row>
    <row r="37" spans="1:33" ht="18" customHeight="1">
      <c r="A37" s="8"/>
      <c r="B37" s="562"/>
      <c r="C37" s="562"/>
      <c r="D37" s="562"/>
      <c r="E37" s="562"/>
      <c r="F37" s="562"/>
      <c r="G37" s="562"/>
      <c r="H37" s="562"/>
      <c r="I37" s="562"/>
      <c r="J37" s="562"/>
      <c r="K37" s="562"/>
      <c r="L37" s="562"/>
      <c r="M37" s="562"/>
      <c r="N37" s="562"/>
      <c r="O37" s="562"/>
      <c r="P37" s="562"/>
      <c r="Q37" s="562">
        <f>+Q36+T36</f>
        <v>4764</v>
      </c>
      <c r="R37" s="562"/>
      <c r="S37" s="562"/>
      <c r="T37" s="562"/>
      <c r="U37" s="562"/>
      <c r="V37" s="562"/>
      <c r="W37" s="562"/>
      <c r="X37" s="562"/>
      <c r="Y37" s="562"/>
      <c r="Z37" s="562"/>
      <c r="AA37" s="562"/>
      <c r="AB37" s="562"/>
      <c r="AC37" s="562"/>
      <c r="AD37" s="562"/>
      <c r="AE37" s="562"/>
      <c r="AF37" s="562"/>
      <c r="AG37" s="574"/>
    </row>
    <row r="38" spans="1:33" ht="18" customHeight="1">
      <c r="A38" s="519" t="s">
        <v>1088</v>
      </c>
      <c r="B38" s="562"/>
      <c r="C38" s="562"/>
      <c r="D38" s="562"/>
      <c r="E38" s="559"/>
      <c r="F38" s="562"/>
      <c r="G38" s="562"/>
      <c r="H38" s="562"/>
      <c r="I38" s="562"/>
      <c r="J38" s="562"/>
      <c r="K38" s="562"/>
      <c r="L38" s="562"/>
      <c r="M38" s="562"/>
      <c r="N38" s="562"/>
      <c r="O38" s="562"/>
      <c r="P38" s="562"/>
      <c r="Q38" s="562"/>
      <c r="R38" s="562"/>
      <c r="S38" s="562"/>
      <c r="T38" s="562"/>
      <c r="U38" s="562"/>
      <c r="V38" s="562"/>
      <c r="W38" s="562"/>
      <c r="X38" s="562"/>
      <c r="Y38" s="562"/>
      <c r="Z38" s="562"/>
      <c r="AA38" s="562"/>
      <c r="AB38" s="562"/>
      <c r="AC38" s="562"/>
      <c r="AD38" s="562"/>
      <c r="AE38" s="562"/>
      <c r="AF38" s="562"/>
    </row>
    <row r="39" spans="1:33" ht="18" customHeight="1">
      <c r="A39" s="566" t="s">
        <v>1089</v>
      </c>
      <c r="B39" s="563">
        <f>+'58'!B39+'59'!B39+'60'!B39+'61'!B39</f>
        <v>506</v>
      </c>
      <c r="C39" s="564">
        <f>+'58'!C39+'59'!C39+'60'!C39+'61'!C39</f>
        <v>746</v>
      </c>
      <c r="D39" s="564">
        <f>+'58'!D39+'59'!D39+'60'!D39+'61'!D39</f>
        <v>987</v>
      </c>
      <c r="E39" s="541">
        <f>+'58'!E39+'59'!E39+'60'!E39+'61'!E39</f>
        <v>679</v>
      </c>
      <c r="F39" s="563">
        <f>+'58'!F39+'59'!F39+'60'!F39+'61'!F39</f>
        <v>2952</v>
      </c>
      <c r="G39" s="564">
        <f>+'58'!G39+'59'!G39+'60'!G39+'61'!G39</f>
        <v>5552</v>
      </c>
      <c r="H39" s="564">
        <f>+'58'!H39+'59'!H39+'60'!H39+'61'!H39</f>
        <v>6467</v>
      </c>
      <c r="I39" s="565">
        <f>+'58'!I39+'59'!I39+'60'!I39+'61'!I39</f>
        <v>5757</v>
      </c>
      <c r="J39" s="563">
        <f>+'58'!J39+'59'!J39+'60'!J39+'61'!J39</f>
        <v>0</v>
      </c>
      <c r="K39" s="564">
        <f>+'58'!K39+'59'!K39+'60'!K39+'61'!K39</f>
        <v>0</v>
      </c>
      <c r="L39" s="564">
        <f>+'58'!L39+'59'!L39+'60'!L39+'61'!L39</f>
        <v>0</v>
      </c>
      <c r="M39" s="565">
        <f>+'58'!M39+'59'!M39+'60'!M39+'61'!M39</f>
        <v>0</v>
      </c>
      <c r="N39" s="563">
        <f>+'58'!N39+'59'!N39+'60'!N39+'61'!N39</f>
        <v>1484</v>
      </c>
      <c r="O39" s="564">
        <f>+'58'!O39+'59'!O39+'60'!O39+'61'!O39</f>
        <v>0</v>
      </c>
      <c r="P39" s="564">
        <f>+'58'!P39+'59'!P39+'60'!P39+'61'!P39</f>
        <v>0</v>
      </c>
      <c r="Q39" s="564">
        <f>+'58'!Q39+'59'!Q39+'60'!Q39+'61'!Q39</f>
        <v>0</v>
      </c>
      <c r="R39" s="563">
        <f>+'58'!R39+'59'!R39+'60'!R39+'61'!R39</f>
        <v>0</v>
      </c>
      <c r="S39" s="564">
        <f>+'58'!S39+'59'!S39+'60'!S39+'61'!S39</f>
        <v>0</v>
      </c>
      <c r="T39" s="565">
        <f>+'58'!T39+'59'!T39+'60'!T39+'61'!T39</f>
        <v>0</v>
      </c>
      <c r="U39" s="564">
        <f>+'58'!U39+'59'!U39+'60'!U39+'61'!U39</f>
        <v>0</v>
      </c>
      <c r="V39" s="564">
        <f>+'58'!V39+'59'!V39+'60'!V39+'61'!V39</f>
        <v>0</v>
      </c>
      <c r="W39" s="564">
        <f>+'58'!W39+'59'!W39+'60'!W39+'61'!W39</f>
        <v>0</v>
      </c>
      <c r="X39" s="564">
        <f>+'58'!X39+'59'!X39+'60'!X39+'61'!X39</f>
        <v>0</v>
      </c>
      <c r="Y39" s="563"/>
      <c r="Z39" s="564"/>
      <c r="AA39" s="564"/>
      <c r="AB39" s="564"/>
      <c r="AC39" s="563">
        <f t="shared" ref="AC39:AF40" si="8">+N39+J39+F39+B39</f>
        <v>4942</v>
      </c>
      <c r="AD39" s="564">
        <f t="shared" si="8"/>
        <v>6298</v>
      </c>
      <c r="AE39" s="564">
        <f t="shared" si="8"/>
        <v>7454</v>
      </c>
      <c r="AF39" s="565">
        <f t="shared" si="8"/>
        <v>6436</v>
      </c>
    </row>
    <row r="40" spans="1:33" ht="18" customHeight="1">
      <c r="A40" s="568" t="s">
        <v>1090</v>
      </c>
      <c r="B40" s="557">
        <f>+'58'!B40+'59'!B40+'60'!B40+'61'!B40</f>
        <v>2871</v>
      </c>
      <c r="C40" s="556">
        <f>+'58'!C40+'59'!C40+'60'!C40+'61'!C40</f>
        <v>2533</v>
      </c>
      <c r="D40" s="556">
        <f>+'58'!D40+'59'!D40+'60'!D40+'61'!D40</f>
        <v>1828</v>
      </c>
      <c r="E40" s="541">
        <f>+'58'!E40+'59'!E40+'60'!E40+'61'!E40</f>
        <v>320</v>
      </c>
      <c r="F40" s="557">
        <f>+'58'!F40+'59'!F40+'60'!F40+'61'!F40</f>
        <v>609</v>
      </c>
      <c r="G40" s="556">
        <f>+'58'!G40+'59'!G40+'60'!G40+'61'!G40</f>
        <v>537</v>
      </c>
      <c r="H40" s="556">
        <f>+'58'!H40+'59'!H40+'60'!H40+'61'!H40</f>
        <v>637</v>
      </c>
      <c r="I40" s="541">
        <f>+'58'!I40+'59'!I40+'60'!I40+'61'!I40</f>
        <v>368</v>
      </c>
      <c r="J40" s="557">
        <f>+'58'!J40+'59'!J40+'60'!J40+'61'!J40</f>
        <v>0</v>
      </c>
      <c r="K40" s="556">
        <f>+'58'!K40+'59'!K40+'60'!K40+'61'!K40</f>
        <v>0</v>
      </c>
      <c r="L40" s="556">
        <f>+'58'!L40+'59'!L40+'60'!L40+'61'!L40</f>
        <v>0</v>
      </c>
      <c r="M40" s="541">
        <f>+'58'!M40+'59'!M40+'60'!M40+'61'!M40</f>
        <v>0</v>
      </c>
      <c r="N40" s="557">
        <f>+'58'!N40+'59'!N40+'60'!N40+'61'!N40</f>
        <v>0</v>
      </c>
      <c r="O40" s="556">
        <f>+'58'!O40+'59'!O40+'60'!O40+'61'!O40</f>
        <v>0</v>
      </c>
      <c r="P40" s="556">
        <f>+'58'!P40+'59'!P40+'60'!P40+'61'!P40</f>
        <v>0</v>
      </c>
      <c r="Q40" s="556">
        <f>+'58'!Q40+'59'!Q40+'60'!Q40+'61'!Q40</f>
        <v>0</v>
      </c>
      <c r="R40" s="557">
        <f>+'58'!R40+'59'!R40+'60'!R40+'61'!R40</f>
        <v>0</v>
      </c>
      <c r="S40" s="556">
        <f>+'58'!S40+'59'!S40+'60'!S40+'61'!S40</f>
        <v>0</v>
      </c>
      <c r="T40" s="541">
        <f>+'58'!T40+'59'!T40+'60'!T40+'61'!T40</f>
        <v>0</v>
      </c>
      <c r="U40" s="556">
        <f>+'58'!U40+'59'!U40+'60'!U40+'61'!U40</f>
        <v>0</v>
      </c>
      <c r="V40" s="556">
        <f>+'58'!V40+'59'!V40+'60'!V40+'61'!V40</f>
        <v>0</v>
      </c>
      <c r="W40" s="556">
        <f>+'58'!W40+'59'!W40+'60'!W40+'61'!W40</f>
        <v>0</v>
      </c>
      <c r="X40" s="556">
        <f>+'58'!X40+'59'!X40+'60'!X40+'61'!X40</f>
        <v>0</v>
      </c>
      <c r="Y40" s="557"/>
      <c r="Z40" s="556"/>
      <c r="AA40" s="556"/>
      <c r="AB40" s="556"/>
      <c r="AC40" s="557">
        <f t="shared" si="8"/>
        <v>3480</v>
      </c>
      <c r="AD40" s="556">
        <f t="shared" si="8"/>
        <v>3070</v>
      </c>
      <c r="AE40" s="556">
        <f t="shared" si="8"/>
        <v>2465</v>
      </c>
      <c r="AF40" s="541">
        <f t="shared" si="8"/>
        <v>688</v>
      </c>
    </row>
    <row r="41" spans="1:33" ht="18" customHeight="1">
      <c r="A41" s="568" t="s">
        <v>1091</v>
      </c>
      <c r="B41" s="557">
        <f>+'58'!B41+'59'!B41+'60'!B41+'61'!B41</f>
        <v>1615</v>
      </c>
      <c r="C41" s="556">
        <f>+'58'!C41+'59'!C41+'60'!C41+'61'!C41</f>
        <v>1785</v>
      </c>
      <c r="D41" s="556">
        <f>+'58'!D41+'59'!D41+'60'!D41+'61'!D41</f>
        <v>1823</v>
      </c>
      <c r="E41" s="541">
        <f>+'58'!E41+'59'!E41+'60'!E41+'61'!E41</f>
        <v>1960</v>
      </c>
      <c r="F41" s="557">
        <f>+'58'!F41+'59'!F41+'60'!F41+'61'!F41</f>
        <v>2404</v>
      </c>
      <c r="G41" s="556">
        <f>+'58'!G41+'59'!G41+'60'!G41+'61'!G41</f>
        <v>2337</v>
      </c>
      <c r="H41" s="556">
        <f>+'58'!H41+'59'!H41+'60'!H41+'61'!H41</f>
        <v>2300</v>
      </c>
      <c r="I41" s="541">
        <f>+'58'!I41+'59'!I41+'60'!I41+'61'!I41</f>
        <v>1990</v>
      </c>
      <c r="J41" s="557">
        <f>+'58'!J41+'59'!J41+'60'!J41+'61'!J41</f>
        <v>0</v>
      </c>
      <c r="K41" s="556">
        <f>+'58'!K41+'59'!K41+'60'!K41+'61'!K41</f>
        <v>0</v>
      </c>
      <c r="L41" s="556">
        <f>+'58'!L41+'59'!L41+'60'!L41+'61'!L41</f>
        <v>0</v>
      </c>
      <c r="M41" s="541">
        <f>+'58'!M41+'59'!M41+'60'!M41+'61'!M41</f>
        <v>0</v>
      </c>
      <c r="N41" s="557">
        <f>+'58'!N41+'59'!N41+'60'!N41+'61'!N41</f>
        <v>0</v>
      </c>
      <c r="O41" s="556">
        <f>+'58'!O41+'59'!O41+'60'!O41+'61'!O41</f>
        <v>0</v>
      </c>
      <c r="P41" s="556">
        <f>+'58'!P41+'59'!P41+'60'!P41+'61'!P41</f>
        <v>0</v>
      </c>
      <c r="Q41" s="556">
        <f>+'58'!Q41+'59'!Q41+'60'!Q41+'61'!Q41</f>
        <v>0</v>
      </c>
      <c r="R41" s="557">
        <f>+'58'!R41+'59'!R41+'60'!R41+'61'!R41</f>
        <v>0</v>
      </c>
      <c r="S41" s="556">
        <f>+'58'!S41+'59'!S41+'60'!S41+'61'!S41</f>
        <v>0</v>
      </c>
      <c r="T41" s="541">
        <f>+'58'!T41+'59'!T41+'60'!T41+'61'!T41</f>
        <v>0</v>
      </c>
      <c r="U41" s="556">
        <f>+'58'!U41+'59'!U41+'60'!U41+'61'!U41</f>
        <v>0</v>
      </c>
      <c r="V41" s="556">
        <f>+'58'!V41+'59'!V41+'60'!V41+'61'!V41</f>
        <v>0</v>
      </c>
      <c r="W41" s="556">
        <f>+'58'!W41+'59'!W41+'60'!W41+'61'!W41</f>
        <v>0</v>
      </c>
      <c r="X41" s="556">
        <f>+'58'!X41+'59'!X41+'60'!X41+'61'!X41</f>
        <v>0</v>
      </c>
      <c r="Y41" s="557"/>
      <c r="Z41" s="556"/>
      <c r="AA41" s="556"/>
      <c r="AB41" s="556"/>
      <c r="AC41" s="557">
        <f t="shared" ref="AC41:AF47" si="9">+N41+J41+F41+B41</f>
        <v>4019</v>
      </c>
      <c r="AD41" s="556">
        <f t="shared" si="9"/>
        <v>4122</v>
      </c>
      <c r="AE41" s="556">
        <f t="shared" si="9"/>
        <v>4123</v>
      </c>
      <c r="AF41" s="541">
        <f t="shared" si="9"/>
        <v>3950</v>
      </c>
    </row>
    <row r="42" spans="1:33" ht="18" customHeight="1">
      <c r="A42" s="568" t="s">
        <v>1092</v>
      </c>
      <c r="B42" s="557">
        <f>+'58'!B42+'59'!B42+'60'!B42+'61'!B42</f>
        <v>1095</v>
      </c>
      <c r="C42" s="556">
        <f>+'58'!C42+'59'!C42+'60'!C42+'61'!C42</f>
        <v>1225</v>
      </c>
      <c r="D42" s="556">
        <f>+'58'!D42+'59'!D42+'60'!D42+'61'!D42</f>
        <v>990</v>
      </c>
      <c r="E42" s="541">
        <f>+'58'!E42+'59'!E42+'60'!E42+'61'!E42</f>
        <v>796</v>
      </c>
      <c r="F42" s="557">
        <f>+'58'!F42+'59'!F42+'60'!F42+'61'!F42</f>
        <v>1585</v>
      </c>
      <c r="G42" s="556">
        <f>+'58'!G42+'59'!G42+'60'!G42+'61'!G42</f>
        <v>1274</v>
      </c>
      <c r="H42" s="556">
        <f>+'58'!H42+'59'!H42+'60'!H42+'61'!H42</f>
        <v>1457</v>
      </c>
      <c r="I42" s="541">
        <f>+'58'!I42+'59'!I42+'60'!I42+'61'!I42</f>
        <v>1503</v>
      </c>
      <c r="J42" s="557">
        <f>+'58'!J42+'59'!J42+'60'!J42+'61'!J42</f>
        <v>0</v>
      </c>
      <c r="K42" s="556">
        <f>+'58'!K42+'59'!K42+'60'!K42+'61'!K42</f>
        <v>0</v>
      </c>
      <c r="L42" s="556">
        <f>+'58'!L42+'59'!L42+'60'!L42+'61'!L42</f>
        <v>0</v>
      </c>
      <c r="M42" s="541">
        <f>+'58'!M42+'59'!M42+'60'!M42+'61'!M42</f>
        <v>0</v>
      </c>
      <c r="N42" s="557">
        <f>+'58'!N42+'59'!N42+'60'!N42+'61'!N42</f>
        <v>0</v>
      </c>
      <c r="O42" s="556">
        <f>+'58'!O42+'59'!O42+'60'!O42+'61'!O42</f>
        <v>0</v>
      </c>
      <c r="P42" s="556">
        <f>+'58'!P42+'59'!P42+'60'!P42+'61'!P42</f>
        <v>0</v>
      </c>
      <c r="Q42" s="556">
        <f>+'58'!Q42+'59'!Q42+'60'!Q42+'61'!Q42</f>
        <v>0</v>
      </c>
      <c r="R42" s="557">
        <f>+'58'!R42+'59'!R42+'60'!R42+'61'!R42</f>
        <v>0</v>
      </c>
      <c r="S42" s="556">
        <f>+'58'!S42+'59'!S42+'60'!S42+'61'!S42</f>
        <v>0</v>
      </c>
      <c r="T42" s="541">
        <f>+'58'!T42+'59'!T42+'60'!T42+'61'!T42</f>
        <v>0</v>
      </c>
      <c r="U42" s="556">
        <f>+'58'!U42+'59'!U42+'60'!U42+'61'!U42</f>
        <v>0</v>
      </c>
      <c r="V42" s="556">
        <f>+'58'!V42+'59'!V42+'60'!V42+'61'!V42</f>
        <v>0</v>
      </c>
      <c r="W42" s="556">
        <f>+'58'!W42+'59'!W42+'60'!W42+'61'!W42</f>
        <v>0</v>
      </c>
      <c r="X42" s="556">
        <f>+'58'!X42+'59'!X42+'60'!X42+'61'!X42</f>
        <v>0</v>
      </c>
      <c r="Y42" s="557"/>
      <c r="Z42" s="556"/>
      <c r="AA42" s="556"/>
      <c r="AB42" s="556"/>
      <c r="AC42" s="557">
        <f t="shared" si="9"/>
        <v>2680</v>
      </c>
      <c r="AD42" s="556">
        <f t="shared" si="9"/>
        <v>2499</v>
      </c>
      <c r="AE42" s="556">
        <f t="shared" si="9"/>
        <v>2447</v>
      </c>
      <c r="AF42" s="541">
        <f t="shared" si="9"/>
        <v>2299</v>
      </c>
    </row>
    <row r="43" spans="1:33" ht="18" customHeight="1">
      <c r="A43" s="568" t="s">
        <v>1093</v>
      </c>
      <c r="B43" s="557">
        <f>+'58'!B43+'59'!B43+'60'!B43+'61'!B43</f>
        <v>2144</v>
      </c>
      <c r="C43" s="556">
        <f>+'58'!C43+'59'!C43+'60'!C43+'61'!C43</f>
        <v>1998</v>
      </c>
      <c r="D43" s="556">
        <f>+'58'!D43+'59'!D43+'60'!D43+'61'!D43</f>
        <v>2294</v>
      </c>
      <c r="E43" s="541">
        <f>+'58'!E43+'59'!E43+'60'!E43+'61'!E43</f>
        <v>2706</v>
      </c>
      <c r="F43" s="557">
        <f>+'58'!F43+'59'!F43+'60'!F43+'61'!F43</f>
        <v>0</v>
      </c>
      <c r="G43" s="556">
        <f>+'58'!G43+'59'!G43+'60'!G43+'61'!G43</f>
        <v>0</v>
      </c>
      <c r="H43" s="556">
        <f>+'58'!H43+'59'!H43+'60'!H43+'61'!H43</f>
        <v>0</v>
      </c>
      <c r="I43" s="541">
        <f>+'58'!I43+'59'!I43+'60'!I43+'61'!I43</f>
        <v>0</v>
      </c>
      <c r="J43" s="557">
        <f>+'58'!J43+'59'!J43+'60'!J43+'61'!J43</f>
        <v>0</v>
      </c>
      <c r="K43" s="556">
        <f>+'58'!K43+'59'!K43+'60'!K43+'61'!K43</f>
        <v>0</v>
      </c>
      <c r="L43" s="556">
        <f>+'58'!L43+'59'!L43+'60'!L43+'61'!L43</f>
        <v>0</v>
      </c>
      <c r="M43" s="541">
        <f>+'58'!M43+'59'!M43+'60'!M43+'61'!M43</f>
        <v>0</v>
      </c>
      <c r="N43" s="557">
        <f>+'58'!N43+'59'!N43+'60'!N43+'61'!N43</f>
        <v>0</v>
      </c>
      <c r="O43" s="556">
        <f>+'58'!O43+'59'!O43+'60'!O43+'61'!O43</f>
        <v>0</v>
      </c>
      <c r="P43" s="556">
        <f>+'58'!P43+'59'!P43+'60'!P43+'61'!P43</f>
        <v>0</v>
      </c>
      <c r="Q43" s="556">
        <f>+'58'!Q43+'59'!Q43+'60'!Q43+'61'!Q43</f>
        <v>0</v>
      </c>
      <c r="R43" s="557">
        <f>+'58'!R43+'59'!R43+'60'!R43+'61'!R43</f>
        <v>0</v>
      </c>
      <c r="S43" s="556">
        <f>+'58'!S43+'59'!S43+'60'!S43+'61'!S43</f>
        <v>0</v>
      </c>
      <c r="T43" s="541">
        <f>+'58'!T43+'59'!T43+'60'!T43+'61'!T43</f>
        <v>0</v>
      </c>
      <c r="U43" s="556">
        <f>+'58'!U43+'59'!U43+'60'!U43+'61'!U43</f>
        <v>0</v>
      </c>
      <c r="V43" s="556">
        <f>+'58'!V43+'59'!V43+'60'!V43+'61'!V43</f>
        <v>0</v>
      </c>
      <c r="W43" s="556">
        <f>+'58'!W43+'59'!W43+'60'!W43+'61'!W43</f>
        <v>0</v>
      </c>
      <c r="X43" s="556">
        <f>+'58'!X43+'59'!X43+'60'!X43+'61'!X43</f>
        <v>0</v>
      </c>
      <c r="Y43" s="557"/>
      <c r="Z43" s="556"/>
      <c r="AA43" s="556"/>
      <c r="AB43" s="556"/>
      <c r="AC43" s="557">
        <f t="shared" si="9"/>
        <v>2144</v>
      </c>
      <c r="AD43" s="556">
        <f t="shared" si="9"/>
        <v>1998</v>
      </c>
      <c r="AE43" s="556">
        <f t="shared" si="9"/>
        <v>2294</v>
      </c>
      <c r="AF43" s="541">
        <f t="shared" si="9"/>
        <v>2706</v>
      </c>
    </row>
    <row r="44" spans="1:33" ht="18" customHeight="1">
      <c r="A44" s="388" t="s">
        <v>1094</v>
      </c>
      <c r="B44" s="557">
        <f>+'58'!B44+'59'!B44+'60'!B44+'61'!B44</f>
        <v>15389</v>
      </c>
      <c r="C44" s="556">
        <f>+'58'!C44+'59'!C44+'60'!C44+'61'!C44</f>
        <v>12312</v>
      </c>
      <c r="D44" s="556">
        <f>+'58'!D44+'59'!D44+'60'!D44+'61'!D44</f>
        <v>14555</v>
      </c>
      <c r="E44" s="541">
        <f>+'58'!E44+'59'!E44+'60'!E44+'61'!E44</f>
        <v>13084</v>
      </c>
      <c r="F44" s="557">
        <f>+'58'!F44+'59'!F44+'60'!F44+'61'!F44</f>
        <v>15965</v>
      </c>
      <c r="G44" s="556">
        <f>+'58'!G44+'59'!G44+'60'!G44+'61'!G44</f>
        <v>15606</v>
      </c>
      <c r="H44" s="556">
        <f>+'58'!H44+'59'!H44+'60'!H44+'61'!H44</f>
        <v>13017</v>
      </c>
      <c r="I44" s="541">
        <f>+'58'!I44+'59'!I44+'60'!I44+'61'!I44</f>
        <v>12848</v>
      </c>
      <c r="J44" s="557">
        <f>+'58'!J44+'59'!J44+'60'!J44+'61'!J44</f>
        <v>0</v>
      </c>
      <c r="K44" s="556">
        <f>+'58'!K44+'59'!K44+'60'!K44+'61'!K44</f>
        <v>0</v>
      </c>
      <c r="L44" s="556">
        <f>+'58'!L44+'59'!L44+'60'!L44+'61'!L44</f>
        <v>0</v>
      </c>
      <c r="M44" s="541">
        <f>+'58'!M44+'59'!M44+'60'!M44+'61'!M44</f>
        <v>0</v>
      </c>
      <c r="N44" s="557">
        <f>+'58'!N44+'59'!N44+'60'!N44+'61'!N44</f>
        <v>0</v>
      </c>
      <c r="O44" s="556">
        <f>+'58'!O44+'59'!O44+'60'!O44+'61'!O44</f>
        <v>0</v>
      </c>
      <c r="P44" s="556">
        <f>+'58'!P44+'59'!P44+'60'!P44+'61'!P44</f>
        <v>0</v>
      </c>
      <c r="Q44" s="556">
        <f>+'58'!Q44+'59'!Q44+'60'!Q44+'61'!Q44</f>
        <v>0</v>
      </c>
      <c r="R44" s="557">
        <f>+'58'!R44+'59'!R44+'60'!R44+'61'!R44</f>
        <v>0</v>
      </c>
      <c r="S44" s="556">
        <f>+'58'!S44+'59'!S44+'60'!S44+'61'!S44</f>
        <v>0</v>
      </c>
      <c r="T44" s="541">
        <f>+'58'!T44+'59'!T44+'60'!T44+'61'!T44</f>
        <v>0</v>
      </c>
      <c r="U44" s="556">
        <f>+'58'!U44+'59'!U44+'60'!U44+'61'!U44</f>
        <v>0</v>
      </c>
      <c r="V44" s="556">
        <f>+'58'!V44+'59'!V44+'60'!V44+'61'!V44</f>
        <v>0</v>
      </c>
      <c r="W44" s="556">
        <f>+'58'!W44+'59'!W44+'60'!W44+'61'!W44</f>
        <v>0</v>
      </c>
      <c r="X44" s="556">
        <f>+'58'!X44+'59'!X44+'60'!X44+'61'!X44</f>
        <v>0</v>
      </c>
      <c r="Y44" s="557"/>
      <c r="Z44" s="556"/>
      <c r="AA44" s="556"/>
      <c r="AB44" s="556"/>
      <c r="AC44" s="557">
        <f t="shared" si="9"/>
        <v>31354</v>
      </c>
      <c r="AD44" s="556">
        <f t="shared" si="9"/>
        <v>27918</v>
      </c>
      <c r="AE44" s="556">
        <f t="shared" si="9"/>
        <v>27572</v>
      </c>
      <c r="AF44" s="541">
        <f t="shared" si="9"/>
        <v>25932</v>
      </c>
    </row>
    <row r="45" spans="1:33" ht="18" customHeight="1">
      <c r="A45" s="388" t="s">
        <v>1095</v>
      </c>
      <c r="B45" s="557">
        <f>+'58'!B45+'59'!B45+'60'!B45+'61'!B45</f>
        <v>1919</v>
      </c>
      <c r="C45" s="556">
        <f>+'58'!C45+'59'!C45+'60'!C45+'61'!C45</f>
        <v>2595</v>
      </c>
      <c r="D45" s="556">
        <f>+'58'!D45+'59'!D45+'60'!D45+'61'!D45</f>
        <v>1118</v>
      </c>
      <c r="E45" s="541">
        <f>+'58'!E45+'59'!E45+'60'!E45+'61'!E45</f>
        <v>56</v>
      </c>
      <c r="F45" s="557">
        <f>+'58'!F45+'59'!F45+'60'!F45+'61'!F45</f>
        <v>0</v>
      </c>
      <c r="G45" s="556">
        <f>+'58'!G45+'59'!G45+'60'!G45+'61'!G45</f>
        <v>0</v>
      </c>
      <c r="H45" s="556">
        <f>+'58'!H45+'59'!H45+'60'!H45+'61'!H45</f>
        <v>0</v>
      </c>
      <c r="I45" s="541">
        <f>+'58'!I45+'59'!I45+'60'!I45+'61'!I45</f>
        <v>0</v>
      </c>
      <c r="J45" s="557">
        <f>+'58'!J45+'59'!J45+'60'!J45+'61'!J45</f>
        <v>0</v>
      </c>
      <c r="K45" s="556">
        <f>+'58'!K45+'59'!K45+'60'!K45+'61'!K45</f>
        <v>0</v>
      </c>
      <c r="L45" s="556">
        <f>+'58'!L45+'59'!L45+'60'!L45+'61'!L45</f>
        <v>0</v>
      </c>
      <c r="M45" s="541">
        <f>+'58'!M45+'59'!M45+'60'!M45+'61'!M45</f>
        <v>0</v>
      </c>
      <c r="N45" s="557">
        <f>+'58'!N45+'59'!N45+'60'!N45+'61'!N45</f>
        <v>3262</v>
      </c>
      <c r="O45" s="556">
        <f>+'58'!O45+'59'!O45+'60'!O45+'61'!O45</f>
        <v>0</v>
      </c>
      <c r="P45" s="556">
        <f>+'58'!P45+'59'!P45+'60'!P45+'61'!P45</f>
        <v>0</v>
      </c>
      <c r="Q45" s="556">
        <f>+'58'!Q45+'59'!Q45+'60'!Q45+'61'!Q45</f>
        <v>0</v>
      </c>
      <c r="R45" s="377">
        <f>+'58'!R45+'59'!R45+'60'!R45+'61'!R45</f>
        <v>0</v>
      </c>
      <c r="S45" s="378">
        <f>+'58'!S45+'59'!S45+'60'!S45+'61'!S45</f>
        <v>0</v>
      </c>
      <c r="T45" s="500">
        <f>+'58'!T45+'59'!T45+'60'!T45+'61'!T45</f>
        <v>0</v>
      </c>
      <c r="U45" s="556">
        <f>+'58'!U45+'59'!U45+'60'!U45+'61'!U45</f>
        <v>0</v>
      </c>
      <c r="V45" s="556">
        <f>+'58'!V45+'59'!V45+'60'!V45+'61'!V45</f>
        <v>0</v>
      </c>
      <c r="W45" s="556">
        <f>+'58'!W45+'59'!W45+'60'!W45+'61'!W45</f>
        <v>0</v>
      </c>
      <c r="X45" s="556">
        <f>+'58'!X45+'59'!X45+'60'!X45+'61'!X45</f>
        <v>0</v>
      </c>
      <c r="Y45" s="557"/>
      <c r="Z45" s="556"/>
      <c r="AA45" s="556"/>
      <c r="AB45" s="556"/>
      <c r="AC45" s="557">
        <f t="shared" si="9"/>
        <v>5181</v>
      </c>
      <c r="AD45" s="556">
        <f t="shared" si="9"/>
        <v>2595</v>
      </c>
      <c r="AE45" s="556">
        <f t="shared" si="9"/>
        <v>1118</v>
      </c>
      <c r="AF45" s="541">
        <f t="shared" si="9"/>
        <v>56</v>
      </c>
    </row>
    <row r="46" spans="1:33" ht="18" customHeight="1">
      <c r="A46" s="568" t="str">
        <f>+'60'!A46</f>
        <v xml:space="preserve"> TECNOLOGO  MEDICO</v>
      </c>
      <c r="B46" s="557">
        <f>+'58'!B46+'59'!B46+'60'!B46+'61'!B46</f>
        <v>8831</v>
      </c>
      <c r="C46" s="556">
        <f>+'58'!C46+'59'!C46+'60'!C46+'61'!C46</f>
        <v>8200</v>
      </c>
      <c r="D46" s="556">
        <f>+'58'!D46+'59'!D46+'60'!D46+'61'!D46</f>
        <v>10122</v>
      </c>
      <c r="E46" s="541">
        <f>+'58'!E46+'59'!E46+'60'!E46+'61'!E46</f>
        <v>6104</v>
      </c>
      <c r="F46" s="557">
        <f>+'58'!F46+'59'!F46+'60'!F46+'61'!F46</f>
        <v>0</v>
      </c>
      <c r="G46" s="556">
        <f>+'58'!G46+'59'!G46+'60'!G46+'61'!G46</f>
        <v>0</v>
      </c>
      <c r="H46" s="556">
        <f>+'58'!H46+'59'!H46+'60'!H46+'61'!H46</f>
        <v>0</v>
      </c>
      <c r="I46" s="541">
        <f>+'58'!I46+'59'!I46+'60'!I46+'61'!I46</f>
        <v>0</v>
      </c>
      <c r="J46" s="557">
        <f>+'58'!J46+'59'!J46+'60'!J46+'61'!J46</f>
        <v>0</v>
      </c>
      <c r="K46" s="556">
        <f>+'58'!K46+'59'!K46+'60'!K46+'61'!K46</f>
        <v>0</v>
      </c>
      <c r="L46" s="556">
        <f>+'58'!L46+'59'!L46+'60'!L46+'61'!L46</f>
        <v>0</v>
      </c>
      <c r="M46" s="541">
        <f>+'58'!M46+'59'!M46+'60'!M46+'61'!M46</f>
        <v>0</v>
      </c>
      <c r="N46" s="557">
        <f>+'58'!N46+'59'!N46+'60'!N46+'61'!N46</f>
        <v>0</v>
      </c>
      <c r="O46" s="556">
        <f>+'58'!O46+'59'!O46+'60'!O46+'61'!O46</f>
        <v>0</v>
      </c>
      <c r="P46" s="556">
        <f>+'58'!P46+'59'!P46+'60'!P46+'61'!P46</f>
        <v>0</v>
      </c>
      <c r="Q46" s="556">
        <f>+'58'!Q46+'59'!Q46+'60'!Q46+'61'!Q46</f>
        <v>0</v>
      </c>
      <c r="R46" s="557">
        <f>+'58'!R46+'59'!R46+'60'!R46+'61'!R46</f>
        <v>0</v>
      </c>
      <c r="S46" s="556">
        <f>+'58'!S46+'59'!S46+'60'!S46+'61'!S46</f>
        <v>0</v>
      </c>
      <c r="T46" s="541">
        <f>+'58'!T46+'59'!T46+'60'!T46+'61'!T46</f>
        <v>0</v>
      </c>
      <c r="U46" s="556">
        <f>+'58'!U46+'59'!U46+'60'!U46+'61'!U46</f>
        <v>0</v>
      </c>
      <c r="V46" s="556">
        <f>+'58'!V46+'59'!V46+'60'!V46+'61'!V46</f>
        <v>0</v>
      </c>
      <c r="W46" s="556">
        <f>+'58'!W46+'59'!W46+'60'!W46+'61'!W46</f>
        <v>0</v>
      </c>
      <c r="X46" s="556">
        <f>+'58'!X46+'59'!X46+'60'!X46+'61'!X46</f>
        <v>0</v>
      </c>
      <c r="Y46" s="557"/>
      <c r="Z46" s="556"/>
      <c r="AA46" s="556"/>
      <c r="AB46" s="556"/>
      <c r="AC46" s="557">
        <f t="shared" si="9"/>
        <v>8831</v>
      </c>
      <c r="AD46" s="556">
        <f t="shared" si="9"/>
        <v>8200</v>
      </c>
      <c r="AE46" s="556">
        <f t="shared" si="9"/>
        <v>10122</v>
      </c>
      <c r="AF46" s="541">
        <f t="shared" si="9"/>
        <v>6104</v>
      </c>
    </row>
    <row r="47" spans="1:33" ht="18" customHeight="1">
      <c r="A47" s="573" t="s">
        <v>1097</v>
      </c>
      <c r="B47" s="561">
        <f>+'58'!B47+'59'!B47+'60'!B47+'61'!B47</f>
        <v>7162</v>
      </c>
      <c r="C47" s="559">
        <f>+'58'!C47+'59'!C47+'60'!C47+'61'!C47</f>
        <v>6648</v>
      </c>
      <c r="D47" s="559">
        <f>+'58'!D47+'59'!D47+'60'!D47+'61'!D47</f>
        <v>7128</v>
      </c>
      <c r="E47" s="560">
        <f>+'58'!E47+'59'!E47+'60'!E47+'61'!E47</f>
        <v>7417</v>
      </c>
      <c r="F47" s="561">
        <f>+'58'!F47+'59'!F47+'60'!F47+'61'!F47</f>
        <v>1818</v>
      </c>
      <c r="G47" s="559">
        <f>+'58'!G47+'59'!G47+'60'!G47+'61'!G47</f>
        <v>1811</v>
      </c>
      <c r="H47" s="559">
        <f>+'58'!H47+'59'!H47+'60'!H47+'61'!H47</f>
        <v>2263</v>
      </c>
      <c r="I47" s="560">
        <f>+'58'!I47+'59'!I47+'60'!I47+'61'!I47</f>
        <v>2159</v>
      </c>
      <c r="J47" s="561">
        <f>+'58'!J47+'59'!J47+'60'!J47+'61'!J47</f>
        <v>0</v>
      </c>
      <c r="K47" s="559">
        <f>+'58'!K47+'59'!K47+'60'!K47+'61'!K47</f>
        <v>0</v>
      </c>
      <c r="L47" s="559">
        <f>+'58'!L47+'59'!L47+'60'!L47+'61'!L47</f>
        <v>0</v>
      </c>
      <c r="M47" s="560">
        <f>+'58'!M47+'59'!M47+'60'!M47+'61'!M47</f>
        <v>0</v>
      </c>
      <c r="N47" s="561">
        <f>+'58'!N47+'59'!N47+'60'!N47+'61'!N47</f>
        <v>1999</v>
      </c>
      <c r="O47" s="559">
        <f>+'58'!O47+'59'!O47+'60'!O47+'61'!O47</f>
        <v>97</v>
      </c>
      <c r="P47" s="559">
        <f>+'58'!P47+'59'!P47+'60'!P47+'61'!P47</f>
        <v>61</v>
      </c>
      <c r="Q47" s="559">
        <f>+'58'!Q47+'59'!Q47+'60'!Q47+'61'!Q47</f>
        <v>26</v>
      </c>
      <c r="R47" s="561">
        <f>+'58'!R47+'59'!R47+'60'!R47+'61'!R47</f>
        <v>354</v>
      </c>
      <c r="S47" s="559">
        <f>+'58'!S47+'59'!S47+'60'!S47+'61'!S47</f>
        <v>253</v>
      </c>
      <c r="T47" s="560">
        <f>+'58'!T47+'59'!T47+'60'!T47+'61'!T47</f>
        <v>4</v>
      </c>
      <c r="U47" s="559">
        <f>+'58'!U47+'59'!U47+'60'!U47+'61'!U47</f>
        <v>0</v>
      </c>
      <c r="V47" s="559">
        <f>+'58'!V47+'59'!V47+'60'!V47+'61'!V47</f>
        <v>0</v>
      </c>
      <c r="W47" s="559">
        <f>+'58'!W47+'59'!W47+'60'!W47+'61'!W47</f>
        <v>0</v>
      </c>
      <c r="X47" s="559">
        <f>+'58'!X47+'59'!X47+'60'!X47+'61'!X47</f>
        <v>0</v>
      </c>
      <c r="Y47" s="561"/>
      <c r="Z47" s="559"/>
      <c r="AA47" s="559"/>
      <c r="AB47" s="559"/>
      <c r="AC47" s="561">
        <f t="shared" si="9"/>
        <v>10979</v>
      </c>
      <c r="AD47" s="559">
        <f t="shared" si="9"/>
        <v>8556</v>
      </c>
      <c r="AE47" s="559">
        <f>+P47+L47+H47+D47+S47</f>
        <v>9705</v>
      </c>
      <c r="AF47" s="560">
        <f>+Q47+M47+I47+E47+T47</f>
        <v>9606</v>
      </c>
    </row>
    <row r="48" spans="1:33">
      <c r="A48" s="8"/>
      <c r="B48" s="562"/>
      <c r="C48" s="562"/>
      <c r="D48" s="562"/>
      <c r="E48" s="562"/>
      <c r="F48" s="562"/>
      <c r="G48" s="562"/>
      <c r="H48" s="562"/>
      <c r="I48" s="562"/>
      <c r="J48" s="562"/>
      <c r="K48" s="562"/>
      <c r="L48" s="562"/>
      <c r="M48" s="562"/>
      <c r="N48" s="562"/>
      <c r="O48" s="562"/>
      <c r="P48" s="562"/>
      <c r="Q48" s="562"/>
      <c r="R48" s="562"/>
      <c r="S48" s="562"/>
      <c r="T48" s="562"/>
      <c r="U48" s="562"/>
      <c r="V48" s="562"/>
      <c r="W48" s="562"/>
      <c r="X48" s="562"/>
      <c r="Y48" s="562"/>
      <c r="Z48" s="562"/>
      <c r="AA48" s="562"/>
      <c r="AB48" s="562"/>
      <c r="AC48" s="562"/>
      <c r="AD48" s="562"/>
      <c r="AE48" s="562"/>
      <c r="AF48" s="562"/>
    </row>
    <row r="49" spans="1:32">
      <c r="A49" s="8"/>
      <c r="B49" s="562"/>
      <c r="C49" s="562"/>
      <c r="D49" s="562"/>
      <c r="E49" s="562"/>
      <c r="F49" s="562"/>
      <c r="G49" s="562"/>
      <c r="H49" s="562"/>
      <c r="I49" s="562"/>
      <c r="J49" s="562"/>
      <c r="K49" s="562"/>
      <c r="L49" s="562"/>
      <c r="M49" s="562"/>
      <c r="N49" s="562"/>
      <c r="O49" s="562"/>
      <c r="P49" s="562"/>
      <c r="Q49" s="562"/>
      <c r="R49" s="562"/>
      <c r="S49" s="562"/>
      <c r="T49" s="562"/>
      <c r="U49" s="562"/>
      <c r="V49" s="562"/>
      <c r="W49" s="562"/>
      <c r="X49" s="562"/>
      <c r="Y49" s="562"/>
      <c r="Z49" s="562"/>
      <c r="AA49" s="562"/>
      <c r="AB49" s="562"/>
      <c r="AC49" s="562"/>
      <c r="AD49" s="562"/>
      <c r="AE49" s="562"/>
      <c r="AF49" s="562"/>
    </row>
    <row r="50" spans="1:32">
      <c r="A50" s="8"/>
      <c r="B50" s="562"/>
      <c r="C50" s="562"/>
      <c r="D50" s="562"/>
      <c r="E50" s="562"/>
      <c r="F50" s="562"/>
      <c r="G50" s="562"/>
      <c r="H50" s="562"/>
      <c r="I50" s="562"/>
      <c r="J50" s="562"/>
      <c r="K50" s="562"/>
      <c r="L50" s="562"/>
      <c r="M50" s="562"/>
      <c r="N50" s="562"/>
      <c r="O50" s="562"/>
      <c r="P50" s="562"/>
      <c r="Q50" s="562"/>
      <c r="R50" s="562"/>
      <c r="S50" s="562"/>
      <c r="T50" s="562"/>
      <c r="U50" s="562"/>
      <c r="V50" s="562"/>
      <c r="W50" s="562"/>
      <c r="X50" s="562"/>
      <c r="Y50" s="562"/>
      <c r="Z50" s="562"/>
      <c r="AA50" s="562"/>
      <c r="AB50" s="562"/>
      <c r="AC50" s="562"/>
      <c r="AD50" s="562"/>
      <c r="AE50" s="562"/>
      <c r="AF50" s="562"/>
    </row>
    <row r="51" spans="1:32">
      <c r="A51" s="8"/>
      <c r="B51" s="562"/>
      <c r="C51" s="562"/>
      <c r="D51" s="562"/>
      <c r="E51" s="562"/>
      <c r="F51" s="562"/>
      <c r="G51" s="562"/>
      <c r="H51" s="562"/>
      <c r="I51" s="562"/>
      <c r="J51" s="562"/>
      <c r="K51" s="562"/>
      <c r="L51" s="562"/>
      <c r="M51" s="562"/>
      <c r="N51" s="562"/>
      <c r="O51" s="562"/>
      <c r="P51" s="562"/>
      <c r="Q51" s="562"/>
      <c r="R51" s="562"/>
      <c r="S51" s="562"/>
      <c r="T51" s="562"/>
      <c r="U51" s="562"/>
      <c r="V51" s="562"/>
      <c r="W51" s="562"/>
      <c r="X51" s="562"/>
      <c r="Y51" s="562"/>
      <c r="Z51" s="562"/>
      <c r="AA51" s="562"/>
      <c r="AB51" s="562"/>
      <c r="AC51" s="562"/>
      <c r="AD51" s="562"/>
      <c r="AE51" s="562"/>
      <c r="AF51" s="562"/>
    </row>
    <row r="52" spans="1:32">
      <c r="A52" s="8"/>
      <c r="B52" s="562"/>
      <c r="C52" s="562"/>
      <c r="D52" s="562"/>
      <c r="E52" s="562"/>
      <c r="F52" s="562"/>
      <c r="G52" s="562"/>
      <c r="H52" s="562"/>
      <c r="I52" s="562"/>
      <c r="J52" s="562"/>
      <c r="K52" s="562"/>
      <c r="L52" s="562"/>
      <c r="M52" s="562"/>
      <c r="N52" s="562"/>
      <c r="O52" s="562"/>
      <c r="P52" s="562"/>
      <c r="Q52" s="562"/>
      <c r="R52" s="562"/>
      <c r="S52" s="562"/>
      <c r="T52" s="562"/>
      <c r="U52" s="562"/>
      <c r="V52" s="562"/>
      <c r="W52" s="562"/>
      <c r="X52" s="562"/>
      <c r="Y52" s="562"/>
      <c r="Z52" s="562"/>
      <c r="AA52" s="562"/>
      <c r="AB52" s="562"/>
      <c r="AC52" s="562"/>
      <c r="AD52" s="562"/>
      <c r="AE52" s="562"/>
      <c r="AF52" s="562"/>
    </row>
    <row r="53" spans="1:32">
      <c r="A53" s="8"/>
      <c r="B53" s="562"/>
      <c r="C53" s="562"/>
      <c r="D53" s="562"/>
      <c r="E53" s="562"/>
      <c r="F53" s="562"/>
      <c r="G53" s="562"/>
      <c r="H53" s="562"/>
      <c r="I53" s="562"/>
      <c r="J53" s="562"/>
      <c r="K53" s="562"/>
      <c r="L53" s="562"/>
      <c r="M53" s="562"/>
      <c r="N53" s="562"/>
      <c r="O53" s="562"/>
      <c r="P53" s="562"/>
      <c r="Q53" s="562"/>
      <c r="R53" s="562"/>
      <c r="S53" s="562"/>
      <c r="T53" s="562"/>
      <c r="U53" s="562"/>
      <c r="V53" s="562"/>
      <c r="W53" s="562"/>
      <c r="X53" s="562"/>
      <c r="Y53" s="562"/>
      <c r="Z53" s="562"/>
      <c r="AA53" s="562"/>
      <c r="AB53" s="562"/>
      <c r="AC53" s="562"/>
      <c r="AD53" s="562"/>
      <c r="AE53" s="562"/>
      <c r="AF53" s="562"/>
    </row>
    <row r="54" spans="1:32">
      <c r="A54" s="8"/>
      <c r="B54" s="562"/>
      <c r="C54" s="562"/>
      <c r="D54" s="562"/>
      <c r="E54" s="562"/>
      <c r="F54" s="562"/>
      <c r="G54" s="562"/>
      <c r="H54" s="562"/>
      <c r="I54" s="562"/>
      <c r="J54" s="562"/>
      <c r="K54" s="562"/>
      <c r="L54" s="562"/>
      <c r="M54" s="562"/>
      <c r="N54" s="562"/>
      <c r="O54" s="562"/>
      <c r="P54" s="562"/>
      <c r="Q54" s="562"/>
      <c r="R54" s="562"/>
      <c r="S54" s="562"/>
      <c r="T54" s="562"/>
      <c r="U54" s="562"/>
      <c r="V54" s="562"/>
      <c r="W54" s="562"/>
      <c r="X54" s="562"/>
      <c r="Y54" s="562"/>
      <c r="Z54" s="562"/>
      <c r="AA54" s="562"/>
      <c r="AB54" s="562"/>
      <c r="AC54" s="562"/>
      <c r="AD54" s="562"/>
      <c r="AE54" s="562"/>
      <c r="AF54" s="562"/>
    </row>
    <row r="55" spans="1:32">
      <c r="A55" s="8"/>
    </row>
    <row r="56" spans="1:32">
      <c r="A56" s="8"/>
    </row>
    <row r="57" spans="1:32">
      <c r="A57" s="8"/>
    </row>
    <row r="58" spans="1:32">
      <c r="A58" s="8"/>
    </row>
    <row r="59" spans="1:32">
      <c r="A59" s="8"/>
    </row>
  </sheetData>
  <mergeCells count="11">
    <mergeCell ref="R7:T7"/>
    <mergeCell ref="A1:AF1"/>
    <mergeCell ref="A2:AF2"/>
    <mergeCell ref="A3:AF3"/>
    <mergeCell ref="B7:E7"/>
    <mergeCell ref="F7:I7"/>
    <mergeCell ref="J7:M7"/>
    <mergeCell ref="N7:Q7"/>
    <mergeCell ref="AC7:AF7"/>
    <mergeCell ref="U7:X7"/>
    <mergeCell ref="Y7:AB7"/>
  </mergeCells>
  <phoneticPr fontId="19" type="noConversion"/>
  <pageMargins left="0.39370078740157483" right="0.59055118110236227" top="0.39370078740157483" bottom="0.39370078740157483" header="0" footer="0"/>
  <pageSetup paperSize="5" scale="73" orientation="landscape" horizontalDpi="300" verticalDpi="300" r:id="rId1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65"/>
  <sheetViews>
    <sheetView topLeftCell="O46" workbookViewId="0">
      <selection activeCell="B63" sqref="B63"/>
    </sheetView>
  </sheetViews>
  <sheetFormatPr baseColWidth="10" defaultRowHeight="12.75"/>
  <cols>
    <col min="1" max="1" width="25.85546875" customWidth="1"/>
    <col min="2" max="2" width="8.42578125" customWidth="1"/>
    <col min="3" max="16" width="6.140625" customWidth="1"/>
    <col min="17" max="26" width="6" customWidth="1"/>
    <col min="27" max="30" width="6.140625" customWidth="1"/>
  </cols>
  <sheetData>
    <row r="1" spans="1:30">
      <c r="A1" s="1206" t="s">
        <v>1442</v>
      </c>
      <c r="B1" s="1206"/>
      <c r="C1" s="1206"/>
      <c r="D1" s="1206"/>
      <c r="E1" s="1206"/>
      <c r="F1" s="1206"/>
      <c r="G1" s="1206"/>
      <c r="H1" s="1206"/>
      <c r="I1" s="1206"/>
      <c r="J1" s="1206"/>
      <c r="K1" s="1206"/>
      <c r="L1" s="1206"/>
      <c r="M1" s="1206"/>
      <c r="N1" s="1206"/>
      <c r="O1" s="1206"/>
      <c r="P1" s="1206"/>
      <c r="Q1" s="1206"/>
      <c r="R1" s="1206"/>
      <c r="S1" s="1206"/>
      <c r="T1" s="1206"/>
      <c r="U1" s="1206"/>
      <c r="V1" s="1206"/>
      <c r="W1" s="1206"/>
      <c r="X1" s="1206"/>
      <c r="Y1" s="1206"/>
      <c r="Z1" s="1206"/>
      <c r="AA1" s="1206"/>
      <c r="AB1" s="1206"/>
    </row>
    <row r="2" spans="1:30" ht="20.25" customHeight="1">
      <c r="A2" s="575"/>
      <c r="B2" s="242"/>
      <c r="C2" s="242"/>
      <c r="D2" s="242"/>
      <c r="E2" s="575"/>
      <c r="F2" s="575"/>
      <c r="G2" s="575"/>
      <c r="H2" s="575"/>
      <c r="I2" s="575"/>
      <c r="J2" s="575"/>
      <c r="K2" s="575"/>
      <c r="L2" s="575"/>
      <c r="M2" s="575"/>
      <c r="N2" s="575"/>
      <c r="O2" s="575"/>
    </row>
    <row r="3" spans="1:30" s="361" customFormat="1" ht="22.5" customHeight="1">
      <c r="A3" s="521" t="s">
        <v>1104</v>
      </c>
      <c r="B3" s="576"/>
      <c r="C3" s="577" t="s">
        <v>571</v>
      </c>
      <c r="D3" s="578"/>
      <c r="E3" s="1255" t="s">
        <v>1105</v>
      </c>
      <c r="F3" s="1256"/>
      <c r="G3" s="1256" t="s">
        <v>1106</v>
      </c>
      <c r="H3" s="1256"/>
      <c r="I3" s="1254" t="s">
        <v>919</v>
      </c>
      <c r="J3" s="1254"/>
      <c r="K3" s="1254" t="s">
        <v>683</v>
      </c>
      <c r="L3" s="1254"/>
      <c r="M3" s="1254" t="s">
        <v>682</v>
      </c>
      <c r="N3" s="1254"/>
      <c r="O3" s="1254" t="s">
        <v>1107</v>
      </c>
      <c r="P3" s="1254"/>
      <c r="Q3" s="1254" t="s">
        <v>684</v>
      </c>
      <c r="R3" s="1254"/>
      <c r="S3" s="1257" t="s">
        <v>1108</v>
      </c>
      <c r="T3" s="1257"/>
      <c r="U3" s="1252" t="s">
        <v>689</v>
      </c>
      <c r="V3" s="1253"/>
      <c r="W3" s="1252" t="s">
        <v>1109</v>
      </c>
      <c r="X3" s="1253"/>
      <c r="Y3" s="1252" t="s">
        <v>687</v>
      </c>
      <c r="Z3" s="1253"/>
      <c r="AA3" s="1252" t="s">
        <v>685</v>
      </c>
      <c r="AB3" s="1253"/>
      <c r="AC3" s="1254" t="s">
        <v>1110</v>
      </c>
      <c r="AD3" s="1254"/>
    </row>
    <row r="4" spans="1:30" s="361" customFormat="1" ht="21" customHeight="1">
      <c r="A4" s="579"/>
      <c r="B4" s="580" t="s">
        <v>571</v>
      </c>
      <c r="C4" s="581" t="s">
        <v>1111</v>
      </c>
      <c r="D4" s="582" t="s">
        <v>1112</v>
      </c>
      <c r="E4" s="1129" t="s">
        <v>1111</v>
      </c>
      <c r="F4" s="1129" t="s">
        <v>1112</v>
      </c>
      <c r="G4" s="1129" t="s">
        <v>1111</v>
      </c>
      <c r="H4" s="1129" t="s">
        <v>1112</v>
      </c>
      <c r="I4" s="1129" t="s">
        <v>1111</v>
      </c>
      <c r="J4" s="1129" t="s">
        <v>1112</v>
      </c>
      <c r="K4" s="1129" t="s">
        <v>1111</v>
      </c>
      <c r="L4" s="1129" t="s">
        <v>1112</v>
      </c>
      <c r="M4" s="1129" t="s">
        <v>1111</v>
      </c>
      <c r="N4" s="1129" t="s">
        <v>1112</v>
      </c>
      <c r="O4" s="1129" t="s">
        <v>1111</v>
      </c>
      <c r="P4" s="1129" t="s">
        <v>1112</v>
      </c>
      <c r="Q4" s="1129" t="s">
        <v>1111</v>
      </c>
      <c r="R4" s="1129" t="s">
        <v>1112</v>
      </c>
      <c r="S4" s="1129" t="s">
        <v>1111</v>
      </c>
      <c r="T4" s="1129" t="s">
        <v>1112</v>
      </c>
      <c r="U4" s="1129" t="s">
        <v>1111</v>
      </c>
      <c r="V4" s="1129" t="s">
        <v>1112</v>
      </c>
      <c r="W4" s="1129" t="s">
        <v>1111</v>
      </c>
      <c r="X4" s="1129" t="s">
        <v>1112</v>
      </c>
      <c r="Y4" s="1129" t="s">
        <v>1111</v>
      </c>
      <c r="Z4" s="1129" t="s">
        <v>1112</v>
      </c>
      <c r="AA4" s="1129" t="s">
        <v>1111</v>
      </c>
      <c r="AB4" s="1129" t="s">
        <v>1112</v>
      </c>
      <c r="AC4" s="1129" t="s">
        <v>1111</v>
      </c>
      <c r="AD4" s="1129" t="s">
        <v>1112</v>
      </c>
    </row>
    <row r="5" spans="1:30" s="361" customFormat="1">
      <c r="A5" s="583" t="s">
        <v>1113</v>
      </c>
      <c r="B5" s="584">
        <f t="shared" ref="B5:B13" si="0">SUM(C5:D5)</f>
        <v>1018</v>
      </c>
      <c r="C5" s="585">
        <f t="shared" ref="C5:D8" si="1">+E5+G5+I5+K5+M5+O5+Q5+S5+U5+W5+Y5+AA5+AC5</f>
        <v>1002</v>
      </c>
      <c r="D5" s="585">
        <f t="shared" si="1"/>
        <v>16</v>
      </c>
      <c r="E5" s="377">
        <f>+[5]cons!D5</f>
        <v>62</v>
      </c>
      <c r="F5" s="500">
        <f>+[5]cons!E5</f>
        <v>1</v>
      </c>
      <c r="G5" s="377">
        <f>+[5]cons!F5</f>
        <v>76</v>
      </c>
      <c r="H5" s="500">
        <f>+[5]cons!G5</f>
        <v>9</v>
      </c>
      <c r="I5" s="377">
        <f>+[5]cons!H5</f>
        <v>58</v>
      </c>
      <c r="J5" s="500">
        <f>+[5]cons!I5</f>
        <v>0</v>
      </c>
      <c r="K5" s="377">
        <f>+[5]cons!J5</f>
        <v>26</v>
      </c>
      <c r="L5" s="500">
        <f>+[5]cons!K5</f>
        <v>0</v>
      </c>
      <c r="M5" s="377">
        <f>+[5]cons!L5</f>
        <v>49</v>
      </c>
      <c r="N5" s="500">
        <f>+[5]cons!M5</f>
        <v>0</v>
      </c>
      <c r="O5" s="377">
        <f>+[5]cons!N5</f>
        <v>20</v>
      </c>
      <c r="P5" s="500">
        <f>+[5]cons!O5</f>
        <v>2</v>
      </c>
      <c r="Q5" s="377">
        <f>+[5]cons!P5</f>
        <v>144</v>
      </c>
      <c r="R5" s="500">
        <f>+[5]cons!Q5</f>
        <v>0</v>
      </c>
      <c r="S5" s="377">
        <f>+[5]cons!R5</f>
        <v>229</v>
      </c>
      <c r="T5" s="500">
        <f>+[5]cons!S5</f>
        <v>0</v>
      </c>
      <c r="U5" s="377">
        <f>+[5]cons!T5</f>
        <v>37</v>
      </c>
      <c r="V5" s="500">
        <f>+[5]cons!U5</f>
        <v>0</v>
      </c>
      <c r="W5" s="377">
        <f>+[5]cons!V5</f>
        <v>149</v>
      </c>
      <c r="X5" s="500">
        <f>+[5]cons!W5</f>
        <v>2</v>
      </c>
      <c r="Y5" s="377">
        <f>+[5]cons!X5</f>
        <v>14</v>
      </c>
      <c r="Z5" s="500">
        <f>+[5]cons!Y5</f>
        <v>2</v>
      </c>
      <c r="AA5" s="377">
        <f>+[5]cons!Z5</f>
        <v>63</v>
      </c>
      <c r="AB5" s="500">
        <f>+[5]cons!AA5</f>
        <v>0</v>
      </c>
      <c r="AC5" s="377">
        <f>+[5]cons!AB5</f>
        <v>75</v>
      </c>
      <c r="AD5" s="500">
        <f>+[5]cons!AC5</f>
        <v>0</v>
      </c>
    </row>
    <row r="6" spans="1:30" s="361" customFormat="1">
      <c r="A6" s="586" t="s">
        <v>1114</v>
      </c>
      <c r="B6" s="587">
        <f t="shared" si="0"/>
        <v>5166</v>
      </c>
      <c r="C6" s="585">
        <f t="shared" si="1"/>
        <v>24</v>
      </c>
      <c r="D6" s="585">
        <f t="shared" si="1"/>
        <v>5142</v>
      </c>
      <c r="E6" s="377">
        <f>+[5]cons!D6</f>
        <v>0</v>
      </c>
      <c r="F6" s="500">
        <f>+[5]cons!E6</f>
        <v>455</v>
      </c>
      <c r="G6" s="377">
        <f>+[5]cons!F6</f>
        <v>0</v>
      </c>
      <c r="H6" s="500">
        <f>+[5]cons!G6</f>
        <v>409</v>
      </c>
      <c r="I6" s="377">
        <f>+[5]cons!H6</f>
        <v>0</v>
      </c>
      <c r="J6" s="500">
        <f>+[5]cons!I6</f>
        <v>323</v>
      </c>
      <c r="K6" s="377">
        <f>+[5]cons!J6</f>
        <v>0</v>
      </c>
      <c r="L6" s="500">
        <f>+[5]cons!K6</f>
        <v>102</v>
      </c>
      <c r="M6" s="377">
        <f>+[5]cons!L6</f>
        <v>13</v>
      </c>
      <c r="N6" s="500">
        <f>+[5]cons!M6</f>
        <v>211</v>
      </c>
      <c r="O6" s="377">
        <f>+[5]cons!N6</f>
        <v>0</v>
      </c>
      <c r="P6" s="500">
        <f>+[5]cons!O6</f>
        <v>92</v>
      </c>
      <c r="Q6" s="377">
        <f>+[5]cons!P6</f>
        <v>0</v>
      </c>
      <c r="R6" s="500">
        <f>+[5]cons!Q6</f>
        <v>752</v>
      </c>
      <c r="S6" s="377">
        <f>+[5]cons!R6</f>
        <v>2</v>
      </c>
      <c r="T6" s="500">
        <f>+[5]cons!S6</f>
        <v>938</v>
      </c>
      <c r="U6" s="377">
        <f>+[5]cons!T6</f>
        <v>0</v>
      </c>
      <c r="V6" s="500">
        <f>+[5]cons!U6</f>
        <v>212</v>
      </c>
      <c r="W6" s="377">
        <f>+[5]cons!V6</f>
        <v>8</v>
      </c>
      <c r="X6" s="500">
        <f>+[5]cons!W6</f>
        <v>691</v>
      </c>
      <c r="Y6" s="377">
        <f>+[5]cons!X6</f>
        <v>1</v>
      </c>
      <c r="Z6" s="500">
        <f>+[5]cons!Y6</f>
        <v>192</v>
      </c>
      <c r="AA6" s="377">
        <f>+[5]cons!Z6</f>
        <v>0</v>
      </c>
      <c r="AB6" s="500">
        <f>+[5]cons!AA6</f>
        <v>435</v>
      </c>
      <c r="AC6" s="377">
        <f>+[5]cons!AB6</f>
        <v>0</v>
      </c>
      <c r="AD6" s="500">
        <f>+[5]cons!AC6</f>
        <v>330</v>
      </c>
    </row>
    <row r="7" spans="1:30" s="361" customFormat="1">
      <c r="A7" s="586" t="s">
        <v>1115</v>
      </c>
      <c r="B7" s="587">
        <f t="shared" si="0"/>
        <v>0</v>
      </c>
      <c r="C7" s="585">
        <f t="shared" si="1"/>
        <v>0</v>
      </c>
      <c r="D7" s="585">
        <f t="shared" si="1"/>
        <v>0</v>
      </c>
      <c r="E7" s="377">
        <f>+[5]cons!D7</f>
        <v>0</v>
      </c>
      <c r="F7" s="500">
        <f>+[5]cons!E7</f>
        <v>0</v>
      </c>
      <c r="G7" s="377">
        <f>+[5]cons!F7</f>
        <v>0</v>
      </c>
      <c r="H7" s="500">
        <f>+[5]cons!G7</f>
        <v>0</v>
      </c>
      <c r="I7" s="377">
        <f>+[5]cons!H7</f>
        <v>0</v>
      </c>
      <c r="J7" s="500">
        <f>+[5]cons!I7</f>
        <v>0</v>
      </c>
      <c r="K7" s="377">
        <f>+[5]cons!J7</f>
        <v>0</v>
      </c>
      <c r="L7" s="500">
        <f>+[5]cons!K7</f>
        <v>0</v>
      </c>
      <c r="M7" s="377">
        <f>+[5]cons!L7</f>
        <v>0</v>
      </c>
      <c r="N7" s="500">
        <f>+[5]cons!M7</f>
        <v>0</v>
      </c>
      <c r="O7" s="377">
        <f>+[5]cons!N7</f>
        <v>0</v>
      </c>
      <c r="P7" s="500">
        <f>+[5]cons!O7</f>
        <v>0</v>
      </c>
      <c r="Q7" s="377">
        <f>+[5]cons!P7</f>
        <v>0</v>
      </c>
      <c r="R7" s="500">
        <f>+[5]cons!Q7</f>
        <v>0</v>
      </c>
      <c r="S7" s="377">
        <f>+[5]cons!R7</f>
        <v>0</v>
      </c>
      <c r="T7" s="500">
        <f>+[5]cons!S7</f>
        <v>0</v>
      </c>
      <c r="U7" s="377">
        <f>+[5]cons!T7</f>
        <v>0</v>
      </c>
      <c r="V7" s="500">
        <f>+[5]cons!U7</f>
        <v>0</v>
      </c>
      <c r="W7" s="377">
        <f>+[5]cons!V7</f>
        <v>0</v>
      </c>
      <c r="X7" s="500">
        <f>+[5]cons!W7</f>
        <v>0</v>
      </c>
      <c r="Y7" s="377">
        <f>+[5]cons!X7</f>
        <v>0</v>
      </c>
      <c r="Z7" s="500">
        <f>+[5]cons!Y7</f>
        <v>0</v>
      </c>
      <c r="AA7" s="377">
        <f>+[5]cons!Z7</f>
        <v>0</v>
      </c>
      <c r="AB7" s="500">
        <f>+[5]cons!AA7</f>
        <v>0</v>
      </c>
      <c r="AC7" s="377">
        <f>+[5]cons!AB7</f>
        <v>0</v>
      </c>
      <c r="AD7" s="500">
        <f>+[5]cons!AC7</f>
        <v>0</v>
      </c>
    </row>
    <row r="8" spans="1:30" s="361" customFormat="1">
      <c r="A8" s="586" t="s">
        <v>1116</v>
      </c>
      <c r="B8" s="587">
        <f t="shared" si="0"/>
        <v>25</v>
      </c>
      <c r="C8" s="585">
        <f t="shared" si="1"/>
        <v>7</v>
      </c>
      <c r="D8" s="585">
        <f t="shared" si="1"/>
        <v>18</v>
      </c>
      <c r="E8" s="377">
        <f>+[5]cons!D8</f>
        <v>5</v>
      </c>
      <c r="F8" s="500">
        <f>+[5]cons!E8</f>
        <v>6</v>
      </c>
      <c r="G8" s="377">
        <f>+[5]cons!F8</f>
        <v>0</v>
      </c>
      <c r="H8" s="500">
        <f>+[5]cons!G8</f>
        <v>6</v>
      </c>
      <c r="I8" s="377">
        <f>+[5]cons!H8</f>
        <v>0</v>
      </c>
      <c r="J8" s="500">
        <f>+[5]cons!I8</f>
        <v>0</v>
      </c>
      <c r="K8" s="377">
        <f>+[5]cons!J8</f>
        <v>2</v>
      </c>
      <c r="L8" s="500">
        <f>+[5]cons!K8</f>
        <v>4</v>
      </c>
      <c r="M8" s="377">
        <f>+[5]cons!L8</f>
        <v>0</v>
      </c>
      <c r="N8" s="500">
        <f>+[5]cons!M8</f>
        <v>2</v>
      </c>
      <c r="O8" s="377">
        <f>+[5]cons!N8</f>
        <v>0</v>
      </c>
      <c r="P8" s="500">
        <f>+[5]cons!O8</f>
        <v>0</v>
      </c>
      <c r="Q8" s="377">
        <f>+[5]cons!P8</f>
        <v>0</v>
      </c>
      <c r="R8" s="500">
        <f>+[5]cons!Q8</f>
        <v>0</v>
      </c>
      <c r="S8" s="377">
        <f>+[5]cons!R8</f>
        <v>0</v>
      </c>
      <c r="T8" s="500">
        <f>+[5]cons!S8</f>
        <v>0</v>
      </c>
      <c r="U8" s="377">
        <f>+[5]cons!T8</f>
        <v>0</v>
      </c>
      <c r="V8" s="500">
        <f>+[5]cons!U8</f>
        <v>0</v>
      </c>
      <c r="W8" s="377">
        <f>+[5]cons!V8</f>
        <v>0</v>
      </c>
      <c r="X8" s="500">
        <f>+[5]cons!W8</f>
        <v>0</v>
      </c>
      <c r="Y8" s="377">
        <f>+[5]cons!X8</f>
        <v>0</v>
      </c>
      <c r="Z8" s="500">
        <f>+[5]cons!Y8</f>
        <v>0</v>
      </c>
      <c r="AA8" s="377">
        <f>+[5]cons!Z8</f>
        <v>0</v>
      </c>
      <c r="AB8" s="500">
        <f>+[5]cons!AA8</f>
        <v>0</v>
      </c>
      <c r="AC8" s="377">
        <f>+[5]cons!AB8</f>
        <v>0</v>
      </c>
      <c r="AD8" s="500">
        <f>+[5]cons!AC8</f>
        <v>0</v>
      </c>
    </row>
    <row r="9" spans="1:30" s="361" customFormat="1">
      <c r="A9" s="586" t="s">
        <v>1117</v>
      </c>
      <c r="B9" s="587">
        <f t="shared" si="0"/>
        <v>48</v>
      </c>
      <c r="C9" s="585">
        <f t="shared" ref="C9:D13" si="2">+E9+G9+I9+K9+M9+O9+Q9+S9+U9+W9+Y9+AA9+AC9</f>
        <v>20</v>
      </c>
      <c r="D9" s="585">
        <f t="shared" si="2"/>
        <v>28</v>
      </c>
      <c r="E9" s="377">
        <f>+[5]cons!D9</f>
        <v>0</v>
      </c>
      <c r="F9" s="500">
        <f>+[5]cons!E9</f>
        <v>0</v>
      </c>
      <c r="G9" s="377">
        <f>+[5]cons!F9</f>
        <v>3</v>
      </c>
      <c r="H9" s="500">
        <f>+[5]cons!G9</f>
        <v>0</v>
      </c>
      <c r="I9" s="377">
        <f>+[5]cons!H9</f>
        <v>0</v>
      </c>
      <c r="J9" s="500">
        <f>+[5]cons!I9</f>
        <v>0</v>
      </c>
      <c r="K9" s="377">
        <f>+[5]cons!J9</f>
        <v>17</v>
      </c>
      <c r="L9" s="500">
        <f>+[5]cons!K9</f>
        <v>23</v>
      </c>
      <c r="M9" s="377">
        <f>+[5]cons!L9</f>
        <v>0</v>
      </c>
      <c r="N9" s="500">
        <f>+[5]cons!M9</f>
        <v>2</v>
      </c>
      <c r="O9" s="377">
        <f>+[5]cons!N9</f>
        <v>0</v>
      </c>
      <c r="P9" s="500">
        <f>+[5]cons!O9</f>
        <v>0</v>
      </c>
      <c r="Q9" s="377">
        <f>+[5]cons!P9</f>
        <v>0</v>
      </c>
      <c r="R9" s="500">
        <f>+[5]cons!Q9</f>
        <v>0</v>
      </c>
      <c r="S9" s="377">
        <f>+[5]cons!R9</f>
        <v>0</v>
      </c>
      <c r="T9" s="500">
        <f>+[5]cons!S9</f>
        <v>0</v>
      </c>
      <c r="U9" s="377">
        <f>+[5]cons!T9</f>
        <v>0</v>
      </c>
      <c r="V9" s="500">
        <f>+[5]cons!U9</f>
        <v>2</v>
      </c>
      <c r="W9" s="377">
        <f>+[5]cons!V9</f>
        <v>0</v>
      </c>
      <c r="X9" s="500">
        <f>+[5]cons!W9</f>
        <v>0</v>
      </c>
      <c r="Y9" s="377">
        <f>+[5]cons!X9</f>
        <v>0</v>
      </c>
      <c r="Z9" s="500">
        <f>+[5]cons!Y9</f>
        <v>0</v>
      </c>
      <c r="AA9" s="377">
        <f>+[5]cons!Z9</f>
        <v>0</v>
      </c>
      <c r="AB9" s="500">
        <f>+[5]cons!AA9</f>
        <v>0</v>
      </c>
      <c r="AC9" s="377">
        <f>+[5]cons!AB9</f>
        <v>0</v>
      </c>
      <c r="AD9" s="500">
        <f>+[5]cons!AC9</f>
        <v>1</v>
      </c>
    </row>
    <row r="10" spans="1:30" s="361" customFormat="1">
      <c r="A10" s="586" t="s">
        <v>1118</v>
      </c>
      <c r="B10" s="587">
        <f t="shared" si="0"/>
        <v>17</v>
      </c>
      <c r="C10" s="585">
        <f t="shared" si="2"/>
        <v>5</v>
      </c>
      <c r="D10" s="585">
        <f t="shared" si="2"/>
        <v>12</v>
      </c>
      <c r="E10" s="377">
        <f>+[5]cons!D10</f>
        <v>0</v>
      </c>
      <c r="F10" s="500">
        <f>+[5]cons!E10</f>
        <v>0</v>
      </c>
      <c r="G10" s="377">
        <f>+[5]cons!F10</f>
        <v>0</v>
      </c>
      <c r="H10" s="500">
        <f>+[5]cons!G10</f>
        <v>0</v>
      </c>
      <c r="I10" s="377">
        <f>+[5]cons!H10</f>
        <v>0</v>
      </c>
      <c r="J10" s="500">
        <f>+[5]cons!I10</f>
        <v>0</v>
      </c>
      <c r="K10" s="377">
        <f>+[5]cons!J10</f>
        <v>5</v>
      </c>
      <c r="L10" s="500">
        <f>+[5]cons!K10</f>
        <v>12</v>
      </c>
      <c r="M10" s="377">
        <f>+[5]cons!L10</f>
        <v>0</v>
      </c>
      <c r="N10" s="500">
        <f>+[5]cons!M10</f>
        <v>0</v>
      </c>
      <c r="O10" s="377">
        <f>+[5]cons!N10</f>
        <v>0</v>
      </c>
      <c r="P10" s="500">
        <f>+[5]cons!O10</f>
        <v>0</v>
      </c>
      <c r="Q10" s="377">
        <f>+[5]cons!P10</f>
        <v>0</v>
      </c>
      <c r="R10" s="500">
        <f>+[5]cons!Q10</f>
        <v>0</v>
      </c>
      <c r="S10" s="377">
        <f>+[5]cons!R10</f>
        <v>0</v>
      </c>
      <c r="T10" s="500">
        <f>+[5]cons!S10</f>
        <v>0</v>
      </c>
      <c r="U10" s="377">
        <f>+[5]cons!T10</f>
        <v>0</v>
      </c>
      <c r="V10" s="500">
        <f>+[5]cons!U10</f>
        <v>0</v>
      </c>
      <c r="W10" s="377">
        <f>+[5]cons!V10</f>
        <v>0</v>
      </c>
      <c r="X10" s="500">
        <f>+[5]cons!W10</f>
        <v>0</v>
      </c>
      <c r="Y10" s="377">
        <f>+[5]cons!X10</f>
        <v>0</v>
      </c>
      <c r="Z10" s="500">
        <f>+[5]cons!Y10</f>
        <v>0</v>
      </c>
      <c r="AA10" s="377">
        <f>+[5]cons!Z10</f>
        <v>0</v>
      </c>
      <c r="AB10" s="500">
        <f>+[5]cons!AA10</f>
        <v>0</v>
      </c>
      <c r="AC10" s="377">
        <f>+[5]cons!AB10</f>
        <v>0</v>
      </c>
      <c r="AD10" s="500">
        <f>+[5]cons!AC10</f>
        <v>0</v>
      </c>
    </row>
    <row r="11" spans="1:30" s="361" customFormat="1">
      <c r="A11" s="586" t="s">
        <v>1119</v>
      </c>
      <c r="B11" s="587">
        <f t="shared" si="0"/>
        <v>22</v>
      </c>
      <c r="C11" s="585">
        <f t="shared" si="2"/>
        <v>6</v>
      </c>
      <c r="D11" s="585">
        <f t="shared" si="2"/>
        <v>16</v>
      </c>
      <c r="E11" s="377">
        <f>+[5]cons!D11</f>
        <v>0</v>
      </c>
      <c r="F11" s="500">
        <f>+[5]cons!E11</f>
        <v>0</v>
      </c>
      <c r="G11" s="377">
        <f>+[5]cons!F11</f>
        <v>0</v>
      </c>
      <c r="H11" s="500">
        <f>+[5]cons!G11</f>
        <v>0</v>
      </c>
      <c r="I11" s="377">
        <f>+[5]cons!H11</f>
        <v>0</v>
      </c>
      <c r="J11" s="500">
        <f>+[5]cons!I11</f>
        <v>0</v>
      </c>
      <c r="K11" s="377">
        <f>+[5]cons!J11</f>
        <v>6</v>
      </c>
      <c r="L11" s="500">
        <f>+[5]cons!K11</f>
        <v>14</v>
      </c>
      <c r="M11" s="377">
        <f>+[5]cons!L11</f>
        <v>0</v>
      </c>
      <c r="N11" s="500">
        <f>+[5]cons!M11</f>
        <v>2</v>
      </c>
      <c r="O11" s="377">
        <f>+[5]cons!N11</f>
        <v>0</v>
      </c>
      <c r="P11" s="500">
        <f>+[5]cons!O11</f>
        <v>0</v>
      </c>
      <c r="Q11" s="377">
        <f>+[5]cons!P11</f>
        <v>0</v>
      </c>
      <c r="R11" s="500">
        <f>+[5]cons!Q11</f>
        <v>0</v>
      </c>
      <c r="S11" s="377">
        <f>+[5]cons!R11</f>
        <v>0</v>
      </c>
      <c r="T11" s="500">
        <f>+[5]cons!S11</f>
        <v>0</v>
      </c>
      <c r="U11" s="377">
        <f>+[5]cons!T11</f>
        <v>0</v>
      </c>
      <c r="V11" s="500">
        <f>+[5]cons!U11</f>
        <v>0</v>
      </c>
      <c r="W11" s="377">
        <f>+[5]cons!V11</f>
        <v>0</v>
      </c>
      <c r="X11" s="500">
        <f>+[5]cons!W11</f>
        <v>0</v>
      </c>
      <c r="Y11" s="377">
        <f>+[5]cons!X11</f>
        <v>0</v>
      </c>
      <c r="Z11" s="500">
        <f>+[5]cons!Y11</f>
        <v>0</v>
      </c>
      <c r="AA11" s="377">
        <f>+[5]cons!Z11</f>
        <v>0</v>
      </c>
      <c r="AB11" s="500">
        <f>+[5]cons!AA11</f>
        <v>0</v>
      </c>
      <c r="AC11" s="377">
        <f>+[5]cons!AB11</f>
        <v>0</v>
      </c>
      <c r="AD11" s="500">
        <f>+[5]cons!AC11</f>
        <v>0</v>
      </c>
    </row>
    <row r="12" spans="1:30" s="361" customFormat="1">
      <c r="A12" s="586" t="s">
        <v>1120</v>
      </c>
      <c r="B12" s="587">
        <f t="shared" si="0"/>
        <v>0</v>
      </c>
      <c r="C12" s="585">
        <f t="shared" si="2"/>
        <v>0</v>
      </c>
      <c r="D12" s="585">
        <f t="shared" si="2"/>
        <v>0</v>
      </c>
      <c r="E12" s="377">
        <f>+[5]cons!D12</f>
        <v>0</v>
      </c>
      <c r="F12" s="500">
        <f>+[5]cons!E12</f>
        <v>0</v>
      </c>
      <c r="G12" s="377">
        <f>+[5]cons!F12</f>
        <v>0</v>
      </c>
      <c r="H12" s="500">
        <f>+[5]cons!G12</f>
        <v>0</v>
      </c>
      <c r="I12" s="377">
        <f>+[5]cons!H12</f>
        <v>0</v>
      </c>
      <c r="J12" s="500">
        <f>+[5]cons!I12</f>
        <v>0</v>
      </c>
      <c r="K12" s="377">
        <f>+[5]cons!J12</f>
        <v>0</v>
      </c>
      <c r="L12" s="500">
        <f>+[5]cons!K12</f>
        <v>0</v>
      </c>
      <c r="M12" s="377">
        <f>+[5]cons!L12</f>
        <v>0</v>
      </c>
      <c r="N12" s="500">
        <f>+[5]cons!M12</f>
        <v>0</v>
      </c>
      <c r="O12" s="377">
        <f>+[5]cons!N12</f>
        <v>0</v>
      </c>
      <c r="P12" s="500">
        <f>+[5]cons!O12</f>
        <v>0</v>
      </c>
      <c r="Q12" s="377">
        <f>+[5]cons!P12</f>
        <v>0</v>
      </c>
      <c r="R12" s="500">
        <f>+[5]cons!Q12</f>
        <v>0</v>
      </c>
      <c r="S12" s="377">
        <f>+[5]cons!R12</f>
        <v>0</v>
      </c>
      <c r="T12" s="500">
        <f>+[5]cons!S12</f>
        <v>0</v>
      </c>
      <c r="U12" s="377">
        <f>+[5]cons!T12</f>
        <v>0</v>
      </c>
      <c r="V12" s="500">
        <f>+[5]cons!U12</f>
        <v>0</v>
      </c>
      <c r="W12" s="377">
        <f>+[5]cons!V12</f>
        <v>0</v>
      </c>
      <c r="X12" s="500">
        <f>+[5]cons!W12</f>
        <v>0</v>
      </c>
      <c r="Y12" s="377">
        <f>+[5]cons!X12</f>
        <v>0</v>
      </c>
      <c r="Z12" s="500">
        <f>+[5]cons!Y12</f>
        <v>0</v>
      </c>
      <c r="AA12" s="377">
        <f>+[5]cons!Z12</f>
        <v>0</v>
      </c>
      <c r="AB12" s="500">
        <f>+[5]cons!AA12</f>
        <v>0</v>
      </c>
      <c r="AC12" s="377">
        <f>+[5]cons!AB12</f>
        <v>0</v>
      </c>
      <c r="AD12" s="500">
        <f>+[5]cons!AC12</f>
        <v>0</v>
      </c>
    </row>
    <row r="13" spans="1:30" s="361" customFormat="1">
      <c r="A13" s="586" t="s">
        <v>1121</v>
      </c>
      <c r="B13" s="587">
        <f t="shared" si="0"/>
        <v>3</v>
      </c>
      <c r="C13" s="585">
        <f t="shared" si="2"/>
        <v>0</v>
      </c>
      <c r="D13" s="585">
        <f t="shared" si="2"/>
        <v>3</v>
      </c>
      <c r="E13" s="377">
        <f>+[5]cons!D13</f>
        <v>0</v>
      </c>
      <c r="F13" s="500">
        <f>+[5]cons!E13</f>
        <v>0</v>
      </c>
      <c r="G13" s="377">
        <f>+[5]cons!F13</f>
        <v>0</v>
      </c>
      <c r="H13" s="500">
        <f>+[5]cons!G13</f>
        <v>1</v>
      </c>
      <c r="I13" s="377">
        <f>+[5]cons!H13</f>
        <v>0</v>
      </c>
      <c r="J13" s="500">
        <f>+[5]cons!I13</f>
        <v>0</v>
      </c>
      <c r="K13" s="377">
        <f>+[5]cons!J13</f>
        <v>0</v>
      </c>
      <c r="L13" s="500">
        <f>+[5]cons!K13</f>
        <v>2</v>
      </c>
      <c r="M13" s="377">
        <f>+[5]cons!L13</f>
        <v>0</v>
      </c>
      <c r="N13" s="500">
        <f>+[5]cons!M13</f>
        <v>0</v>
      </c>
      <c r="O13" s="377">
        <f>+[5]cons!N13</f>
        <v>0</v>
      </c>
      <c r="P13" s="500">
        <f>+[5]cons!O13</f>
        <v>0</v>
      </c>
      <c r="Q13" s="377">
        <f>+[5]cons!P13</f>
        <v>0</v>
      </c>
      <c r="R13" s="500">
        <f>+[5]cons!Q13</f>
        <v>0</v>
      </c>
      <c r="S13" s="377">
        <f>+[5]cons!R13</f>
        <v>0</v>
      </c>
      <c r="T13" s="500">
        <f>+[5]cons!S13</f>
        <v>0</v>
      </c>
      <c r="U13" s="377">
        <f>+[5]cons!T13</f>
        <v>0</v>
      </c>
      <c r="V13" s="500">
        <f>+[5]cons!U13</f>
        <v>0</v>
      </c>
      <c r="W13" s="377">
        <f>+[5]cons!V13</f>
        <v>0</v>
      </c>
      <c r="X13" s="500">
        <f>+[5]cons!W13</f>
        <v>0</v>
      </c>
      <c r="Y13" s="377">
        <f>+[5]cons!X13</f>
        <v>0</v>
      </c>
      <c r="Z13" s="500">
        <f>+[5]cons!Y13</f>
        <v>0</v>
      </c>
      <c r="AA13" s="377">
        <f>+[5]cons!Z13</f>
        <v>0</v>
      </c>
      <c r="AB13" s="500">
        <f>+[5]cons!AA13</f>
        <v>0</v>
      </c>
      <c r="AC13" s="377">
        <f>+[5]cons!AB13</f>
        <v>0</v>
      </c>
      <c r="AD13" s="500">
        <f>+[5]cons!AC13</f>
        <v>0</v>
      </c>
    </row>
    <row r="14" spans="1:30" s="361" customFormat="1">
      <c r="A14" s="586" t="s">
        <v>135</v>
      </c>
      <c r="B14" s="587">
        <f t="shared" ref="B14:B42" si="3">SUM(C14:D14)</f>
        <v>0</v>
      </c>
      <c r="C14" s="585">
        <f t="shared" ref="C14:C42" si="4">+E14+G14+I14+K14+M14+O14+Q14+S14+U14+W14+Y14+AA14+AC14</f>
        <v>0</v>
      </c>
      <c r="D14" s="585">
        <f t="shared" ref="D14:D42" si="5">+F14+H14+J14+L14+N14+P14+R14+T14+V14+X14+Z14+AB14+AD14</f>
        <v>0</v>
      </c>
      <c r="E14" s="377">
        <f>+[5]cons!D14</f>
        <v>0</v>
      </c>
      <c r="F14" s="500">
        <f>+[5]cons!E14</f>
        <v>0</v>
      </c>
      <c r="G14" s="377">
        <f>+[5]cons!F14</f>
        <v>0</v>
      </c>
      <c r="H14" s="500">
        <f>+[5]cons!G14</f>
        <v>0</v>
      </c>
      <c r="I14" s="377">
        <f>+[5]cons!H14</f>
        <v>0</v>
      </c>
      <c r="J14" s="500">
        <f>+[5]cons!I14</f>
        <v>0</v>
      </c>
      <c r="K14" s="377">
        <f>+[5]cons!J14</f>
        <v>0</v>
      </c>
      <c r="L14" s="500">
        <f>+[5]cons!K14</f>
        <v>0</v>
      </c>
      <c r="M14" s="377">
        <f>+[5]cons!L14</f>
        <v>0</v>
      </c>
      <c r="N14" s="500">
        <f>+[5]cons!M14</f>
        <v>0</v>
      </c>
      <c r="O14" s="377">
        <f>+[5]cons!N14</f>
        <v>0</v>
      </c>
      <c r="P14" s="500">
        <f>+[5]cons!O14</f>
        <v>0</v>
      </c>
      <c r="Q14" s="377">
        <f>+[5]cons!P14</f>
        <v>0</v>
      </c>
      <c r="R14" s="500">
        <f>+[5]cons!Q14</f>
        <v>0</v>
      </c>
      <c r="S14" s="377">
        <f>+[5]cons!R14</f>
        <v>0</v>
      </c>
      <c r="T14" s="500">
        <f>+[5]cons!S14</f>
        <v>0</v>
      </c>
      <c r="U14" s="377">
        <f>+[5]cons!T14</f>
        <v>0</v>
      </c>
      <c r="V14" s="500">
        <f>+[5]cons!U14</f>
        <v>0</v>
      </c>
      <c r="W14" s="377">
        <f>+[5]cons!V14</f>
        <v>0</v>
      </c>
      <c r="X14" s="500">
        <f>+[5]cons!W14</f>
        <v>0</v>
      </c>
      <c r="Y14" s="377">
        <f>+[5]cons!X14</f>
        <v>0</v>
      </c>
      <c r="Z14" s="500">
        <f>+[5]cons!Y14</f>
        <v>0</v>
      </c>
      <c r="AA14" s="377">
        <f>+[5]cons!Z14</f>
        <v>0</v>
      </c>
      <c r="AB14" s="500">
        <f>+[5]cons!AA14</f>
        <v>0</v>
      </c>
      <c r="AC14" s="377">
        <f>+[5]cons!AB14</f>
        <v>0</v>
      </c>
      <c r="AD14" s="500">
        <f>+[5]cons!AC14</f>
        <v>0</v>
      </c>
    </row>
    <row r="15" spans="1:30" s="361" customFormat="1">
      <c r="A15" s="586" t="s">
        <v>1122</v>
      </c>
      <c r="B15" s="587">
        <f t="shared" si="3"/>
        <v>11</v>
      </c>
      <c r="C15" s="585">
        <f t="shared" si="4"/>
        <v>1</v>
      </c>
      <c r="D15" s="585">
        <f t="shared" si="5"/>
        <v>10</v>
      </c>
      <c r="E15" s="377">
        <f>+[5]cons!D15</f>
        <v>0</v>
      </c>
      <c r="F15" s="500">
        <f>+[5]cons!E15</f>
        <v>0</v>
      </c>
      <c r="G15" s="377">
        <f>+[5]cons!F15</f>
        <v>0</v>
      </c>
      <c r="H15" s="500">
        <f>+[5]cons!G15</f>
        <v>0</v>
      </c>
      <c r="I15" s="377">
        <f>+[5]cons!H15</f>
        <v>0</v>
      </c>
      <c r="J15" s="500">
        <f>+[5]cons!I15</f>
        <v>0</v>
      </c>
      <c r="K15" s="377">
        <f>+[5]cons!J15</f>
        <v>0</v>
      </c>
      <c r="L15" s="500">
        <f>+[5]cons!K15</f>
        <v>9</v>
      </c>
      <c r="M15" s="377">
        <f>+[5]cons!L15</f>
        <v>0</v>
      </c>
      <c r="N15" s="500">
        <f>+[5]cons!M15</f>
        <v>0</v>
      </c>
      <c r="O15" s="377">
        <f>+[5]cons!N15</f>
        <v>1</v>
      </c>
      <c r="P15" s="500">
        <f>+[5]cons!O15</f>
        <v>0</v>
      </c>
      <c r="Q15" s="377">
        <f>+[5]cons!P15</f>
        <v>0</v>
      </c>
      <c r="R15" s="500">
        <f>+[5]cons!Q15</f>
        <v>0</v>
      </c>
      <c r="S15" s="377">
        <f>+[5]cons!R15</f>
        <v>0</v>
      </c>
      <c r="T15" s="500">
        <f>+[5]cons!S15</f>
        <v>0</v>
      </c>
      <c r="U15" s="377">
        <f>+[5]cons!T15</f>
        <v>0</v>
      </c>
      <c r="V15" s="500">
        <f>+[5]cons!U15</f>
        <v>1</v>
      </c>
      <c r="W15" s="377">
        <f>+[5]cons!V15</f>
        <v>0</v>
      </c>
      <c r="X15" s="500">
        <f>+[5]cons!W15</f>
        <v>0</v>
      </c>
      <c r="Y15" s="377">
        <f>+[5]cons!X15</f>
        <v>0</v>
      </c>
      <c r="Z15" s="500">
        <f>+[5]cons!Y15</f>
        <v>0</v>
      </c>
      <c r="AA15" s="377">
        <f>+[5]cons!Z15</f>
        <v>0</v>
      </c>
      <c r="AB15" s="500">
        <f>+[5]cons!AA15</f>
        <v>0</v>
      </c>
      <c r="AC15" s="377">
        <f>+[5]cons!AB15</f>
        <v>0</v>
      </c>
      <c r="AD15" s="500">
        <f>+[5]cons!AC15</f>
        <v>0</v>
      </c>
    </row>
    <row r="16" spans="1:30" s="361" customFormat="1">
      <c r="A16" s="586" t="s">
        <v>1123</v>
      </c>
      <c r="B16" s="587">
        <f t="shared" si="3"/>
        <v>0</v>
      </c>
      <c r="C16" s="585">
        <f t="shared" si="4"/>
        <v>0</v>
      </c>
      <c r="D16" s="585">
        <f t="shared" si="5"/>
        <v>0</v>
      </c>
      <c r="E16" s="377">
        <f>+[5]cons!D16</f>
        <v>0</v>
      </c>
      <c r="F16" s="500">
        <f>+[5]cons!E16</f>
        <v>0</v>
      </c>
      <c r="G16" s="377">
        <f>+[5]cons!F16</f>
        <v>0</v>
      </c>
      <c r="H16" s="500">
        <f>+[5]cons!G16</f>
        <v>0</v>
      </c>
      <c r="I16" s="377">
        <f>+[5]cons!H16</f>
        <v>0</v>
      </c>
      <c r="J16" s="500">
        <f>+[5]cons!I16</f>
        <v>0</v>
      </c>
      <c r="K16" s="377">
        <f>+[5]cons!J16</f>
        <v>0</v>
      </c>
      <c r="L16" s="500">
        <f>+[5]cons!K16</f>
        <v>0</v>
      </c>
      <c r="M16" s="377">
        <f>+[5]cons!L16</f>
        <v>0</v>
      </c>
      <c r="N16" s="500">
        <f>+[5]cons!M16</f>
        <v>0</v>
      </c>
      <c r="O16" s="377">
        <f>+[5]cons!N16</f>
        <v>0</v>
      </c>
      <c r="P16" s="500">
        <f>+[5]cons!O16</f>
        <v>0</v>
      </c>
      <c r="Q16" s="377">
        <f>+[5]cons!P16</f>
        <v>0</v>
      </c>
      <c r="R16" s="500">
        <f>+[5]cons!Q16</f>
        <v>0</v>
      </c>
      <c r="S16" s="377">
        <f>+[5]cons!R16</f>
        <v>0</v>
      </c>
      <c r="T16" s="500">
        <f>+[5]cons!S16</f>
        <v>0</v>
      </c>
      <c r="U16" s="377">
        <f>+[5]cons!T16</f>
        <v>0</v>
      </c>
      <c r="V16" s="500">
        <f>+[5]cons!U16</f>
        <v>0</v>
      </c>
      <c r="W16" s="377">
        <f>+[5]cons!V16</f>
        <v>0</v>
      </c>
      <c r="X16" s="500">
        <f>+[5]cons!W16</f>
        <v>0</v>
      </c>
      <c r="Y16" s="377">
        <f>+[5]cons!X16</f>
        <v>0</v>
      </c>
      <c r="Z16" s="500">
        <f>+[5]cons!Y16</f>
        <v>0</v>
      </c>
      <c r="AA16" s="377">
        <f>+[5]cons!Z16</f>
        <v>0</v>
      </c>
      <c r="AB16" s="500">
        <f>+[5]cons!AA16</f>
        <v>0</v>
      </c>
      <c r="AC16" s="377">
        <f>+[5]cons!AB16</f>
        <v>0</v>
      </c>
      <c r="AD16" s="500">
        <f>+[5]cons!AC16</f>
        <v>0</v>
      </c>
    </row>
    <row r="17" spans="1:30" s="361" customFormat="1">
      <c r="A17" s="586" t="s">
        <v>1124</v>
      </c>
      <c r="B17" s="587">
        <f t="shared" si="3"/>
        <v>44</v>
      </c>
      <c r="C17" s="585">
        <f t="shared" si="4"/>
        <v>3</v>
      </c>
      <c r="D17" s="585">
        <f t="shared" si="5"/>
        <v>41</v>
      </c>
      <c r="E17" s="377">
        <f>+[5]cons!D17</f>
        <v>0</v>
      </c>
      <c r="F17" s="500">
        <f>+[5]cons!E17</f>
        <v>0</v>
      </c>
      <c r="G17" s="377">
        <f>+[5]cons!F17</f>
        <v>0</v>
      </c>
      <c r="H17" s="500">
        <f>+[5]cons!G17</f>
        <v>0</v>
      </c>
      <c r="I17" s="377">
        <f>+[5]cons!H17</f>
        <v>0</v>
      </c>
      <c r="J17" s="500">
        <f>+[5]cons!I17</f>
        <v>0</v>
      </c>
      <c r="K17" s="377">
        <f>+[5]cons!J17</f>
        <v>2</v>
      </c>
      <c r="L17" s="500">
        <f>+[5]cons!K17</f>
        <v>7</v>
      </c>
      <c r="M17" s="377">
        <f>+[5]cons!L17</f>
        <v>0</v>
      </c>
      <c r="N17" s="500">
        <f>+[5]cons!M17</f>
        <v>3</v>
      </c>
      <c r="O17" s="377">
        <f>+[5]cons!N17</f>
        <v>0</v>
      </c>
      <c r="P17" s="500">
        <f>+[5]cons!O17</f>
        <v>2</v>
      </c>
      <c r="Q17" s="377">
        <f>+[5]cons!P17</f>
        <v>0</v>
      </c>
      <c r="R17" s="500">
        <f>+[5]cons!Q17</f>
        <v>0</v>
      </c>
      <c r="S17" s="377">
        <f>+[5]cons!R17</f>
        <v>0</v>
      </c>
      <c r="T17" s="500">
        <f>+[5]cons!S17</f>
        <v>0</v>
      </c>
      <c r="U17" s="377">
        <f>+[5]cons!T17</f>
        <v>0</v>
      </c>
      <c r="V17" s="500">
        <f>+[5]cons!U17</f>
        <v>3</v>
      </c>
      <c r="W17" s="377">
        <f>+[5]cons!V17</f>
        <v>0</v>
      </c>
      <c r="X17" s="500">
        <f>+[5]cons!W17</f>
        <v>0</v>
      </c>
      <c r="Y17" s="377">
        <f>+[5]cons!X17</f>
        <v>0</v>
      </c>
      <c r="Z17" s="500">
        <f>+[5]cons!Y17</f>
        <v>0</v>
      </c>
      <c r="AA17" s="377">
        <f>+[5]cons!Z17</f>
        <v>1</v>
      </c>
      <c r="AB17" s="500">
        <f>+[5]cons!AA17</f>
        <v>19</v>
      </c>
      <c r="AC17" s="377">
        <f>+[5]cons!AB17</f>
        <v>0</v>
      </c>
      <c r="AD17" s="500">
        <f>+[5]cons!AC17</f>
        <v>7</v>
      </c>
    </row>
    <row r="18" spans="1:30" s="361" customFormat="1">
      <c r="A18" s="586" t="s">
        <v>1125</v>
      </c>
      <c r="B18" s="587">
        <f t="shared" si="3"/>
        <v>1841</v>
      </c>
      <c r="C18" s="585">
        <f t="shared" si="4"/>
        <v>478</v>
      </c>
      <c r="D18" s="585">
        <f t="shared" si="5"/>
        <v>1363</v>
      </c>
      <c r="E18" s="377">
        <f>+[5]cons!D18</f>
        <v>23</v>
      </c>
      <c r="F18" s="500">
        <f>+[5]cons!E18</f>
        <v>103</v>
      </c>
      <c r="G18" s="377">
        <f>+[5]cons!F18</f>
        <v>45</v>
      </c>
      <c r="H18" s="500">
        <f>+[5]cons!G18</f>
        <v>126</v>
      </c>
      <c r="I18" s="377">
        <f>+[5]cons!H18</f>
        <v>23</v>
      </c>
      <c r="J18" s="500">
        <f>+[5]cons!I18</f>
        <v>78</v>
      </c>
      <c r="K18" s="377">
        <f>+[5]cons!J18</f>
        <v>21</v>
      </c>
      <c r="L18" s="500">
        <f>+[5]cons!K18</f>
        <v>59</v>
      </c>
      <c r="M18" s="377">
        <f>+[5]cons!L18</f>
        <v>0</v>
      </c>
      <c r="N18" s="500">
        <f>+[5]cons!M18</f>
        <v>52</v>
      </c>
      <c r="O18" s="377">
        <f>+[5]cons!N18</f>
        <v>11</v>
      </c>
      <c r="P18" s="500">
        <f>+[5]cons!O18</f>
        <v>34</v>
      </c>
      <c r="Q18" s="377">
        <f>+[5]cons!P18</f>
        <v>69</v>
      </c>
      <c r="R18" s="500">
        <f>+[5]cons!Q18</f>
        <v>214</v>
      </c>
      <c r="S18" s="377">
        <f>+[5]cons!R18</f>
        <v>88</v>
      </c>
      <c r="T18" s="500">
        <f>+[5]cons!S18</f>
        <v>217</v>
      </c>
      <c r="U18" s="377">
        <f>+[5]cons!T18</f>
        <v>33</v>
      </c>
      <c r="V18" s="500">
        <f>+[5]cons!U18</f>
        <v>73</v>
      </c>
      <c r="W18" s="377">
        <f>+[5]cons!V18</f>
        <v>86</v>
      </c>
      <c r="X18" s="500">
        <f>+[5]cons!W18</f>
        <v>164</v>
      </c>
      <c r="Y18" s="377">
        <f>+[5]cons!X18</f>
        <v>10</v>
      </c>
      <c r="Z18" s="500">
        <f>+[5]cons!Y18</f>
        <v>20</v>
      </c>
      <c r="AA18" s="377">
        <f>+[5]cons!Z18</f>
        <v>29</v>
      </c>
      <c r="AB18" s="500">
        <f>+[5]cons!AA18</f>
        <v>107</v>
      </c>
      <c r="AC18" s="377">
        <f>+[5]cons!AB18</f>
        <v>40</v>
      </c>
      <c r="AD18" s="500">
        <f>+[5]cons!AC18</f>
        <v>116</v>
      </c>
    </row>
    <row r="19" spans="1:30" s="361" customFormat="1">
      <c r="A19" s="586" t="s">
        <v>1126</v>
      </c>
      <c r="B19" s="587">
        <f t="shared" si="3"/>
        <v>39</v>
      </c>
      <c r="C19" s="585">
        <f t="shared" si="4"/>
        <v>0</v>
      </c>
      <c r="D19" s="585">
        <f t="shared" si="5"/>
        <v>39</v>
      </c>
      <c r="E19" s="377">
        <f>+[5]cons!D19</f>
        <v>0</v>
      </c>
      <c r="F19" s="500">
        <f>+[5]cons!E19</f>
        <v>14</v>
      </c>
      <c r="G19" s="377">
        <f>+[5]cons!F19</f>
        <v>0</v>
      </c>
      <c r="H19" s="500">
        <f>+[5]cons!G19</f>
        <v>3</v>
      </c>
      <c r="I19" s="377">
        <f>+[5]cons!H19</f>
        <v>0</v>
      </c>
      <c r="J19" s="500">
        <f>+[5]cons!I19</f>
        <v>0</v>
      </c>
      <c r="K19" s="377">
        <f>+[5]cons!J19</f>
        <v>0</v>
      </c>
      <c r="L19" s="500">
        <f>+[5]cons!K19</f>
        <v>3</v>
      </c>
      <c r="M19" s="377">
        <f>+[5]cons!L19</f>
        <v>0</v>
      </c>
      <c r="N19" s="500">
        <f>+[5]cons!M19</f>
        <v>14</v>
      </c>
      <c r="O19" s="377">
        <f>+[5]cons!N19</f>
        <v>0</v>
      </c>
      <c r="P19" s="500">
        <f>+[5]cons!O19</f>
        <v>1</v>
      </c>
      <c r="Q19" s="377">
        <f>+[5]cons!P19</f>
        <v>0</v>
      </c>
      <c r="R19" s="500">
        <f>+[5]cons!Q19</f>
        <v>0</v>
      </c>
      <c r="S19" s="377">
        <f>+[5]cons!R19</f>
        <v>0</v>
      </c>
      <c r="T19" s="500">
        <f>+[5]cons!S19</f>
        <v>4</v>
      </c>
      <c r="U19" s="377">
        <f>+[5]cons!T19</f>
        <v>0</v>
      </c>
      <c r="V19" s="500">
        <f>+[5]cons!U19</f>
        <v>0</v>
      </c>
      <c r="W19" s="377">
        <f>+[5]cons!V19</f>
        <v>0</v>
      </c>
      <c r="X19" s="500">
        <f>+[5]cons!W19</f>
        <v>0</v>
      </c>
      <c r="Y19" s="377">
        <f>+[5]cons!X19</f>
        <v>0</v>
      </c>
      <c r="Z19" s="500">
        <f>+[5]cons!Y19</f>
        <v>0</v>
      </c>
      <c r="AA19" s="377">
        <f>+[5]cons!Z19</f>
        <v>0</v>
      </c>
      <c r="AB19" s="500">
        <f>+[5]cons!AA19</f>
        <v>0</v>
      </c>
      <c r="AC19" s="377">
        <f>+[5]cons!AB19</f>
        <v>0</v>
      </c>
      <c r="AD19" s="500">
        <f>+[5]cons!AC19</f>
        <v>0</v>
      </c>
    </row>
    <row r="20" spans="1:30" s="361" customFormat="1">
      <c r="A20" s="586" t="s">
        <v>136</v>
      </c>
      <c r="B20" s="587">
        <f t="shared" si="3"/>
        <v>0</v>
      </c>
      <c r="C20" s="585">
        <f t="shared" si="4"/>
        <v>0</v>
      </c>
      <c r="D20" s="585">
        <f t="shared" si="5"/>
        <v>0</v>
      </c>
      <c r="E20" s="377">
        <f>+[5]cons!D20</f>
        <v>0</v>
      </c>
      <c r="F20" s="500">
        <f>+[5]cons!E20</f>
        <v>0</v>
      </c>
      <c r="G20" s="377">
        <f>+[5]cons!F20</f>
        <v>0</v>
      </c>
      <c r="H20" s="500">
        <f>+[5]cons!G20</f>
        <v>0</v>
      </c>
      <c r="I20" s="377">
        <f>+[5]cons!H20</f>
        <v>0</v>
      </c>
      <c r="J20" s="500">
        <f>+[5]cons!I20</f>
        <v>0</v>
      </c>
      <c r="K20" s="377">
        <f>+[5]cons!J20</f>
        <v>0</v>
      </c>
      <c r="L20" s="500">
        <f>+[5]cons!K20</f>
        <v>0</v>
      </c>
      <c r="M20" s="377">
        <f>+[5]cons!L20</f>
        <v>0</v>
      </c>
      <c r="N20" s="500">
        <f>+[5]cons!M20</f>
        <v>0</v>
      </c>
      <c r="O20" s="377">
        <f>+[5]cons!N20</f>
        <v>0</v>
      </c>
      <c r="P20" s="500">
        <f>+[5]cons!O20</f>
        <v>0</v>
      </c>
      <c r="Q20" s="377">
        <f>+[5]cons!P20</f>
        <v>0</v>
      </c>
      <c r="R20" s="500">
        <f>+[5]cons!Q20</f>
        <v>0</v>
      </c>
      <c r="S20" s="377">
        <f>+[5]cons!R20</f>
        <v>0</v>
      </c>
      <c r="T20" s="500">
        <f>+[5]cons!S20</f>
        <v>0</v>
      </c>
      <c r="U20" s="377">
        <f>+[5]cons!T20</f>
        <v>0</v>
      </c>
      <c r="V20" s="500">
        <f>+[5]cons!U20</f>
        <v>0</v>
      </c>
      <c r="W20" s="377">
        <f>+[5]cons!V20</f>
        <v>0</v>
      </c>
      <c r="X20" s="500">
        <f>+[5]cons!W20</f>
        <v>0</v>
      </c>
      <c r="Y20" s="377">
        <f>+[5]cons!X20</f>
        <v>0</v>
      </c>
      <c r="Z20" s="500">
        <f>+[5]cons!Y20</f>
        <v>0</v>
      </c>
      <c r="AA20" s="377">
        <f>+[5]cons!Z20</f>
        <v>0</v>
      </c>
      <c r="AB20" s="500">
        <f>+[5]cons!AA20</f>
        <v>0</v>
      </c>
      <c r="AC20" s="377">
        <f>+[5]cons!AB20</f>
        <v>0</v>
      </c>
      <c r="AD20" s="500">
        <f>+[5]cons!AC20</f>
        <v>0</v>
      </c>
    </row>
    <row r="21" spans="1:30" s="361" customFormat="1">
      <c r="A21" s="586" t="s">
        <v>1127</v>
      </c>
      <c r="B21" s="587">
        <f t="shared" si="3"/>
        <v>0</v>
      </c>
      <c r="C21" s="585">
        <f t="shared" si="4"/>
        <v>0</v>
      </c>
      <c r="D21" s="585">
        <f t="shared" si="5"/>
        <v>0</v>
      </c>
      <c r="E21" s="377">
        <f>+[5]cons!D21</f>
        <v>0</v>
      </c>
      <c r="F21" s="500">
        <f>+[5]cons!E21</f>
        <v>0</v>
      </c>
      <c r="G21" s="377">
        <f>+[5]cons!F21</f>
        <v>0</v>
      </c>
      <c r="H21" s="500">
        <f>+[5]cons!G21</f>
        <v>0</v>
      </c>
      <c r="I21" s="377">
        <f>+[5]cons!H21</f>
        <v>0</v>
      </c>
      <c r="J21" s="500">
        <f>+[5]cons!I21</f>
        <v>0</v>
      </c>
      <c r="K21" s="377">
        <f>+[5]cons!J21</f>
        <v>0</v>
      </c>
      <c r="L21" s="500">
        <f>+[5]cons!K21</f>
        <v>0</v>
      </c>
      <c r="M21" s="377">
        <f>+[5]cons!L21</f>
        <v>0</v>
      </c>
      <c r="N21" s="500">
        <f>+[5]cons!M21</f>
        <v>0</v>
      </c>
      <c r="O21" s="377">
        <f>+[5]cons!N21</f>
        <v>0</v>
      </c>
      <c r="P21" s="500">
        <f>+[5]cons!O21</f>
        <v>0</v>
      </c>
      <c r="Q21" s="377">
        <f>+[5]cons!P21</f>
        <v>0</v>
      </c>
      <c r="R21" s="500">
        <f>+[5]cons!Q21</f>
        <v>0</v>
      </c>
      <c r="S21" s="377">
        <f>+[5]cons!R21</f>
        <v>0</v>
      </c>
      <c r="T21" s="500">
        <f>+[5]cons!S21</f>
        <v>0</v>
      </c>
      <c r="U21" s="377">
        <f>+[5]cons!T21</f>
        <v>0</v>
      </c>
      <c r="V21" s="500">
        <f>+[5]cons!U21</f>
        <v>0</v>
      </c>
      <c r="W21" s="377">
        <f>+[5]cons!V21</f>
        <v>0</v>
      </c>
      <c r="X21" s="500">
        <f>+[5]cons!W21</f>
        <v>0</v>
      </c>
      <c r="Y21" s="377">
        <f>+[5]cons!X21</f>
        <v>0</v>
      </c>
      <c r="Z21" s="500">
        <f>+[5]cons!Y21</f>
        <v>0</v>
      </c>
      <c r="AA21" s="377">
        <f>+[5]cons!Z21</f>
        <v>0</v>
      </c>
      <c r="AB21" s="500">
        <f>+[5]cons!AA21</f>
        <v>0</v>
      </c>
      <c r="AC21" s="377">
        <f>+[5]cons!AB21</f>
        <v>0</v>
      </c>
      <c r="AD21" s="500">
        <f>+[5]cons!AC21</f>
        <v>0</v>
      </c>
    </row>
    <row r="22" spans="1:30" s="361" customFormat="1">
      <c r="A22" s="586" t="s">
        <v>1128</v>
      </c>
      <c r="B22" s="587">
        <f t="shared" si="3"/>
        <v>49</v>
      </c>
      <c r="C22" s="585">
        <f t="shared" si="4"/>
        <v>8</v>
      </c>
      <c r="D22" s="585">
        <f t="shared" si="5"/>
        <v>41</v>
      </c>
      <c r="E22" s="377">
        <f>+[5]cons!D22</f>
        <v>0</v>
      </c>
      <c r="F22" s="500">
        <f>+[5]cons!E22</f>
        <v>0</v>
      </c>
      <c r="G22" s="377">
        <f>+[5]cons!F22</f>
        <v>0</v>
      </c>
      <c r="H22" s="500">
        <f>+[5]cons!G22</f>
        <v>4</v>
      </c>
      <c r="I22" s="377">
        <f>+[5]cons!H22</f>
        <v>2</v>
      </c>
      <c r="J22" s="500">
        <f>+[5]cons!I22</f>
        <v>3</v>
      </c>
      <c r="K22" s="377">
        <f>+[5]cons!J22</f>
        <v>0</v>
      </c>
      <c r="L22" s="500">
        <f>+[5]cons!K22</f>
        <v>1</v>
      </c>
      <c r="M22" s="377">
        <f>+[5]cons!L22</f>
        <v>0</v>
      </c>
      <c r="N22" s="500">
        <f>+[5]cons!M22</f>
        <v>1</v>
      </c>
      <c r="O22" s="377">
        <f>+[5]cons!N22</f>
        <v>0</v>
      </c>
      <c r="P22" s="500">
        <f>+[5]cons!O22</f>
        <v>4</v>
      </c>
      <c r="Q22" s="377">
        <f>+[5]cons!P22</f>
        <v>3</v>
      </c>
      <c r="R22" s="500">
        <f>+[5]cons!Q22</f>
        <v>2</v>
      </c>
      <c r="S22" s="377">
        <f>+[5]cons!R22</f>
        <v>2</v>
      </c>
      <c r="T22" s="500">
        <f>+[5]cons!S22</f>
        <v>8</v>
      </c>
      <c r="U22" s="377">
        <f>+[5]cons!T22</f>
        <v>0</v>
      </c>
      <c r="V22" s="500">
        <f>+[5]cons!U22</f>
        <v>9</v>
      </c>
      <c r="W22" s="377">
        <f>+[5]cons!V22</f>
        <v>0</v>
      </c>
      <c r="X22" s="500">
        <f>+[5]cons!W22</f>
        <v>2</v>
      </c>
      <c r="Y22" s="377">
        <f>+[5]cons!X22</f>
        <v>0</v>
      </c>
      <c r="Z22" s="500">
        <f>+[5]cons!Y22</f>
        <v>2</v>
      </c>
      <c r="AA22" s="377">
        <f>+[5]cons!Z22</f>
        <v>0</v>
      </c>
      <c r="AB22" s="500">
        <f>+[5]cons!AA22</f>
        <v>3</v>
      </c>
      <c r="AC22" s="377">
        <f>+[5]cons!AB22</f>
        <v>1</v>
      </c>
      <c r="AD22" s="500">
        <f>+[5]cons!AC22</f>
        <v>2</v>
      </c>
    </row>
    <row r="23" spans="1:30" s="361" customFormat="1">
      <c r="A23" s="586" t="s">
        <v>1129</v>
      </c>
      <c r="B23" s="587">
        <f t="shared" si="3"/>
        <v>1954</v>
      </c>
      <c r="C23" s="585">
        <f t="shared" si="4"/>
        <v>509</v>
      </c>
      <c r="D23" s="585">
        <f t="shared" si="5"/>
        <v>1445</v>
      </c>
      <c r="E23" s="377">
        <f>+[5]cons!D23</f>
        <v>67</v>
      </c>
      <c r="F23" s="500">
        <f>+[5]cons!E23</f>
        <v>114</v>
      </c>
      <c r="G23" s="377">
        <f>+[5]cons!F23</f>
        <v>55</v>
      </c>
      <c r="H23" s="500">
        <f>+[5]cons!G23</f>
        <v>162</v>
      </c>
      <c r="I23" s="377">
        <f>+[5]cons!H23</f>
        <v>28</v>
      </c>
      <c r="J23" s="500">
        <f>+[5]cons!I23</f>
        <v>98</v>
      </c>
      <c r="K23" s="377">
        <f>+[5]cons!J23</f>
        <v>22</v>
      </c>
      <c r="L23" s="500">
        <f>+[5]cons!K23</f>
        <v>44</v>
      </c>
      <c r="M23" s="377">
        <f>+[5]cons!L23</f>
        <v>11</v>
      </c>
      <c r="N23" s="500">
        <f>+[5]cons!M23</f>
        <v>61</v>
      </c>
      <c r="O23" s="377">
        <f>+[5]cons!N23</f>
        <v>11</v>
      </c>
      <c r="P23" s="500">
        <f>+[5]cons!O23</f>
        <v>28</v>
      </c>
      <c r="Q23" s="377">
        <f>+[5]cons!P23</f>
        <v>57</v>
      </c>
      <c r="R23" s="500">
        <f>+[5]cons!Q23</f>
        <v>207</v>
      </c>
      <c r="S23" s="377">
        <f>+[5]cons!R23</f>
        <v>105</v>
      </c>
      <c r="T23" s="500">
        <f>+[5]cons!S23</f>
        <v>270</v>
      </c>
      <c r="U23" s="377">
        <f>+[5]cons!T23</f>
        <v>19</v>
      </c>
      <c r="V23" s="500">
        <f>+[5]cons!U23</f>
        <v>66</v>
      </c>
      <c r="W23" s="377">
        <f>+[5]cons!V23</f>
        <v>58</v>
      </c>
      <c r="X23" s="500">
        <f>+[5]cons!W23</f>
        <v>155</v>
      </c>
      <c r="Y23" s="377">
        <f>+[5]cons!X23</f>
        <v>8</v>
      </c>
      <c r="Z23" s="500">
        <f>+[5]cons!Y23</f>
        <v>36</v>
      </c>
      <c r="AA23" s="377">
        <f>+[5]cons!Z23</f>
        <v>33</v>
      </c>
      <c r="AB23" s="500">
        <f>+[5]cons!AA23</f>
        <v>109</v>
      </c>
      <c r="AC23" s="377">
        <f>+[5]cons!AB23</f>
        <v>35</v>
      </c>
      <c r="AD23" s="500">
        <f>+[5]cons!AC23</f>
        <v>95</v>
      </c>
    </row>
    <row r="24" spans="1:30" s="361" customFormat="1">
      <c r="A24" s="586" t="s">
        <v>1130</v>
      </c>
      <c r="B24" s="587">
        <f t="shared" si="3"/>
        <v>0</v>
      </c>
      <c r="C24" s="585">
        <f t="shared" si="4"/>
        <v>0</v>
      </c>
      <c r="D24" s="585">
        <f t="shared" si="5"/>
        <v>0</v>
      </c>
      <c r="E24" s="377">
        <f>+[5]cons!D24</f>
        <v>0</v>
      </c>
      <c r="F24" s="500">
        <f>+[5]cons!E24</f>
        <v>0</v>
      </c>
      <c r="G24" s="377">
        <f>+[5]cons!F24</f>
        <v>0</v>
      </c>
      <c r="H24" s="500">
        <f>+[5]cons!G24</f>
        <v>0</v>
      </c>
      <c r="I24" s="377">
        <f>+[5]cons!H24</f>
        <v>0</v>
      </c>
      <c r="J24" s="500">
        <f>+[5]cons!I24</f>
        <v>0</v>
      </c>
      <c r="K24" s="377">
        <f>+[5]cons!J24</f>
        <v>0</v>
      </c>
      <c r="L24" s="500">
        <f>+[5]cons!K24</f>
        <v>0</v>
      </c>
      <c r="M24" s="377">
        <f>+[5]cons!L24</f>
        <v>0</v>
      </c>
      <c r="N24" s="500">
        <f>+[5]cons!M24</f>
        <v>0</v>
      </c>
      <c r="O24" s="377">
        <f>+[5]cons!N24</f>
        <v>0</v>
      </c>
      <c r="P24" s="500">
        <f>+[5]cons!O24</f>
        <v>0</v>
      </c>
      <c r="Q24" s="377">
        <f>+[5]cons!P24</f>
        <v>0</v>
      </c>
      <c r="R24" s="500">
        <f>+[5]cons!Q24</f>
        <v>0</v>
      </c>
      <c r="S24" s="377">
        <f>+[5]cons!R24</f>
        <v>0</v>
      </c>
      <c r="T24" s="500">
        <f>+[5]cons!S24</f>
        <v>0</v>
      </c>
      <c r="U24" s="377">
        <f>+[5]cons!T24</f>
        <v>0</v>
      </c>
      <c r="V24" s="500">
        <f>+[5]cons!U24</f>
        <v>0</v>
      </c>
      <c r="W24" s="377">
        <f>+[5]cons!V24</f>
        <v>0</v>
      </c>
      <c r="X24" s="500">
        <f>+[5]cons!W24</f>
        <v>0</v>
      </c>
      <c r="Y24" s="377">
        <f>+[5]cons!X24</f>
        <v>0</v>
      </c>
      <c r="Z24" s="500">
        <f>+[5]cons!Y24</f>
        <v>0</v>
      </c>
      <c r="AA24" s="377">
        <f>+[5]cons!Z24</f>
        <v>0</v>
      </c>
      <c r="AB24" s="500">
        <f>+[5]cons!AA24</f>
        <v>0</v>
      </c>
      <c r="AC24" s="377">
        <f>+[5]cons!AB24</f>
        <v>0</v>
      </c>
      <c r="AD24" s="500">
        <f>+[5]cons!AC24</f>
        <v>0</v>
      </c>
    </row>
    <row r="25" spans="1:30" s="361" customFormat="1">
      <c r="A25" s="586" t="s">
        <v>1131</v>
      </c>
      <c r="B25" s="587">
        <f t="shared" si="3"/>
        <v>911</v>
      </c>
      <c r="C25" s="585">
        <f t="shared" si="4"/>
        <v>189</v>
      </c>
      <c r="D25" s="585">
        <f t="shared" si="5"/>
        <v>722</v>
      </c>
      <c r="E25" s="377">
        <f>+[5]cons!D25</f>
        <v>14</v>
      </c>
      <c r="F25" s="500">
        <f>+[5]cons!E25</f>
        <v>79</v>
      </c>
      <c r="G25" s="377">
        <f>+[5]cons!F25</f>
        <v>24</v>
      </c>
      <c r="H25" s="500">
        <f>+[5]cons!G25</f>
        <v>58</v>
      </c>
      <c r="I25" s="377">
        <f>+[5]cons!H25</f>
        <v>7</v>
      </c>
      <c r="J25" s="500">
        <f>+[5]cons!I25</f>
        <v>31</v>
      </c>
      <c r="K25" s="377">
        <f>+[5]cons!J25</f>
        <v>8</v>
      </c>
      <c r="L25" s="500">
        <f>+[5]cons!K25</f>
        <v>16</v>
      </c>
      <c r="M25" s="377">
        <f>+[5]cons!L25</f>
        <v>0</v>
      </c>
      <c r="N25" s="500">
        <f>+[5]cons!M25</f>
        <v>0</v>
      </c>
      <c r="O25" s="377">
        <f>+[5]cons!N25</f>
        <v>6</v>
      </c>
      <c r="P25" s="500">
        <f>+[5]cons!O25</f>
        <v>14</v>
      </c>
      <c r="Q25" s="377">
        <f>+[5]cons!P25</f>
        <v>25</v>
      </c>
      <c r="R25" s="500">
        <f>+[5]cons!Q25</f>
        <v>137</v>
      </c>
      <c r="S25" s="377">
        <f>+[5]cons!R25</f>
        <v>39</v>
      </c>
      <c r="T25" s="500">
        <f>+[5]cons!S25</f>
        <v>139</v>
      </c>
      <c r="U25" s="377">
        <f>+[5]cons!T25</f>
        <v>5</v>
      </c>
      <c r="V25" s="500">
        <f>+[5]cons!U25</f>
        <v>38</v>
      </c>
      <c r="W25" s="377">
        <f>+[5]cons!V25</f>
        <v>29</v>
      </c>
      <c r="X25" s="500">
        <f>+[5]cons!W25</f>
        <v>98</v>
      </c>
      <c r="Y25" s="377">
        <f>+[5]cons!X25</f>
        <v>7</v>
      </c>
      <c r="Z25" s="500">
        <f>+[5]cons!Y25</f>
        <v>15</v>
      </c>
      <c r="AA25" s="377">
        <f>+[5]cons!Z25</f>
        <v>14</v>
      </c>
      <c r="AB25" s="500">
        <f>+[5]cons!AA25</f>
        <v>47</v>
      </c>
      <c r="AC25" s="377">
        <f>+[5]cons!AB25</f>
        <v>11</v>
      </c>
      <c r="AD25" s="500">
        <f>+[5]cons!AC25</f>
        <v>50</v>
      </c>
    </row>
    <row r="26" spans="1:30" s="361" customFormat="1">
      <c r="A26" s="586" t="s">
        <v>1132</v>
      </c>
      <c r="B26" s="587">
        <f t="shared" si="3"/>
        <v>16</v>
      </c>
      <c r="C26" s="585">
        <f t="shared" si="4"/>
        <v>5</v>
      </c>
      <c r="D26" s="585">
        <f t="shared" si="5"/>
        <v>11</v>
      </c>
      <c r="E26" s="377">
        <f>+[5]cons!D26</f>
        <v>0</v>
      </c>
      <c r="F26" s="500">
        <f>+[5]cons!E26</f>
        <v>0</v>
      </c>
      <c r="G26" s="377">
        <f>+[5]cons!F26</f>
        <v>0</v>
      </c>
      <c r="H26" s="500">
        <f>+[5]cons!G26</f>
        <v>0</v>
      </c>
      <c r="I26" s="377">
        <f>+[5]cons!H26</f>
        <v>0</v>
      </c>
      <c r="J26" s="500">
        <f>+[5]cons!I26</f>
        <v>0</v>
      </c>
      <c r="K26" s="377">
        <f>+[5]cons!J26</f>
        <v>0</v>
      </c>
      <c r="L26" s="500">
        <f>+[5]cons!K26</f>
        <v>0</v>
      </c>
      <c r="M26" s="377">
        <f>+[5]cons!L26</f>
        <v>0</v>
      </c>
      <c r="N26" s="500">
        <f>+[5]cons!M26</f>
        <v>0</v>
      </c>
      <c r="O26" s="377">
        <f>+[5]cons!N26</f>
        <v>0</v>
      </c>
      <c r="P26" s="500">
        <f>+[5]cons!O26</f>
        <v>0</v>
      </c>
      <c r="Q26" s="377">
        <f>+[5]cons!P26</f>
        <v>2</v>
      </c>
      <c r="R26" s="500">
        <f>+[5]cons!Q26</f>
        <v>11</v>
      </c>
      <c r="S26" s="377">
        <f>+[5]cons!R26</f>
        <v>0</v>
      </c>
      <c r="T26" s="500">
        <f>+[5]cons!S26</f>
        <v>0</v>
      </c>
      <c r="U26" s="377">
        <f>+[5]cons!T26</f>
        <v>3</v>
      </c>
      <c r="V26" s="500">
        <f>+[5]cons!U26</f>
        <v>0</v>
      </c>
      <c r="W26" s="377">
        <f>+[5]cons!V26</f>
        <v>0</v>
      </c>
      <c r="X26" s="500">
        <f>+[5]cons!W26</f>
        <v>0</v>
      </c>
      <c r="Y26" s="377">
        <f>+[5]cons!X26</f>
        <v>0</v>
      </c>
      <c r="Z26" s="500">
        <f>+[5]cons!Y26</f>
        <v>0</v>
      </c>
      <c r="AA26" s="377">
        <f>+[5]cons!Z26</f>
        <v>0</v>
      </c>
      <c r="AB26" s="500">
        <f>+[5]cons!AA26</f>
        <v>0</v>
      </c>
      <c r="AC26" s="377">
        <f>+[5]cons!AB26</f>
        <v>0</v>
      </c>
      <c r="AD26" s="500">
        <f>+[5]cons!AC26</f>
        <v>0</v>
      </c>
    </row>
    <row r="27" spans="1:30" s="361" customFormat="1">
      <c r="A27" s="588" t="s">
        <v>1133</v>
      </c>
      <c r="B27" s="587">
        <f t="shared" si="3"/>
        <v>923</v>
      </c>
      <c r="C27" s="585">
        <f t="shared" si="4"/>
        <v>919</v>
      </c>
      <c r="D27" s="585">
        <f t="shared" si="5"/>
        <v>4</v>
      </c>
      <c r="E27" s="377">
        <f>+[5]cons!D27</f>
        <v>92</v>
      </c>
      <c r="F27" s="500">
        <f>+[5]cons!E27</f>
        <v>0</v>
      </c>
      <c r="G27" s="377">
        <f>+[5]cons!F27</f>
        <v>101</v>
      </c>
      <c r="H27" s="500">
        <f>+[5]cons!G27</f>
        <v>0</v>
      </c>
      <c r="I27" s="377">
        <f>+[5]cons!H27</f>
        <v>78</v>
      </c>
      <c r="J27" s="500">
        <f>+[5]cons!I27</f>
        <v>0</v>
      </c>
      <c r="K27" s="377">
        <f>+[5]cons!J27</f>
        <v>34</v>
      </c>
      <c r="L27" s="500">
        <f>+[5]cons!K27</f>
        <v>0</v>
      </c>
      <c r="M27" s="377">
        <f>+[5]cons!L27</f>
        <v>53</v>
      </c>
      <c r="N27" s="500">
        <f>+[5]cons!M27</f>
        <v>0</v>
      </c>
      <c r="O27" s="377">
        <f>+[5]cons!N27</f>
        <v>23</v>
      </c>
      <c r="P27" s="500">
        <f>+[5]cons!O27</f>
        <v>2</v>
      </c>
      <c r="Q27" s="377">
        <f>+[5]cons!P27</f>
        <v>112</v>
      </c>
      <c r="R27" s="500">
        <f>+[5]cons!Q27</f>
        <v>0</v>
      </c>
      <c r="S27" s="377">
        <f>+[5]cons!R27</f>
        <v>138</v>
      </c>
      <c r="T27" s="500">
        <f>+[5]cons!S27</f>
        <v>0</v>
      </c>
      <c r="U27" s="377">
        <f>+[5]cons!T27</f>
        <v>49</v>
      </c>
      <c r="V27" s="500">
        <f>+[5]cons!U27</f>
        <v>0</v>
      </c>
      <c r="W27" s="377">
        <f>+[5]cons!V27</f>
        <v>80</v>
      </c>
      <c r="X27" s="500">
        <f>+[5]cons!W27</f>
        <v>0</v>
      </c>
      <c r="Y27" s="377">
        <f>+[5]cons!X27</f>
        <v>51</v>
      </c>
      <c r="Z27" s="500">
        <f>+[5]cons!Y27</f>
        <v>0</v>
      </c>
      <c r="AA27" s="377">
        <f>+[5]cons!Z27</f>
        <v>57</v>
      </c>
      <c r="AB27" s="500">
        <f>+[5]cons!AA27</f>
        <v>0</v>
      </c>
      <c r="AC27" s="377">
        <f>+[5]cons!AB27</f>
        <v>51</v>
      </c>
      <c r="AD27" s="500">
        <f>+[5]cons!AC27</f>
        <v>2</v>
      </c>
    </row>
    <row r="28" spans="1:30" s="361" customFormat="1">
      <c r="A28" s="588" t="s">
        <v>1134</v>
      </c>
      <c r="B28" s="587">
        <f t="shared" si="3"/>
        <v>3082</v>
      </c>
      <c r="C28" s="585">
        <f t="shared" si="4"/>
        <v>0</v>
      </c>
      <c r="D28" s="585">
        <f t="shared" si="5"/>
        <v>3082</v>
      </c>
      <c r="E28" s="377">
        <f>+[5]cons!D28</f>
        <v>0</v>
      </c>
      <c r="F28" s="500">
        <f>+[5]cons!E28</f>
        <v>264</v>
      </c>
      <c r="G28" s="377">
        <f>+[5]cons!F28</f>
        <v>0</v>
      </c>
      <c r="H28" s="500">
        <f>+[5]cons!G28</f>
        <v>206</v>
      </c>
      <c r="I28" s="377">
        <f>+[5]cons!H28</f>
        <v>0</v>
      </c>
      <c r="J28" s="500">
        <f>+[5]cons!I28</f>
        <v>157</v>
      </c>
      <c r="K28" s="377">
        <f>+[5]cons!J28</f>
        <v>0</v>
      </c>
      <c r="L28" s="500">
        <f>+[5]cons!K28</f>
        <v>147</v>
      </c>
      <c r="M28" s="377">
        <f>+[5]cons!L28</f>
        <v>0</v>
      </c>
      <c r="N28" s="500">
        <f>+[5]cons!M28</f>
        <v>122</v>
      </c>
      <c r="O28" s="377">
        <f>+[5]cons!N28</f>
        <v>0</v>
      </c>
      <c r="P28" s="500">
        <f>+[5]cons!O28</f>
        <v>62</v>
      </c>
      <c r="Q28" s="377">
        <f>+[5]cons!P28</f>
        <v>0</v>
      </c>
      <c r="R28" s="500">
        <f>+[5]cons!Q28</f>
        <v>299</v>
      </c>
      <c r="S28" s="377">
        <f>+[5]cons!R28</f>
        <v>0</v>
      </c>
      <c r="T28" s="500">
        <f>+[5]cons!S28</f>
        <v>598</v>
      </c>
      <c r="U28" s="377">
        <f>+[5]cons!T28</f>
        <v>0</v>
      </c>
      <c r="V28" s="500">
        <f>+[5]cons!U28</f>
        <v>183</v>
      </c>
      <c r="W28" s="377">
        <f>+[5]cons!V28</f>
        <v>0</v>
      </c>
      <c r="X28" s="500">
        <f>+[5]cons!W28</f>
        <v>435</v>
      </c>
      <c r="Y28" s="377">
        <f>+[5]cons!X28</f>
        <v>0</v>
      </c>
      <c r="Z28" s="500">
        <f>+[5]cons!Y28</f>
        <v>97</v>
      </c>
      <c r="AA28" s="377">
        <f>+[5]cons!Z28</f>
        <v>0</v>
      </c>
      <c r="AB28" s="500">
        <f>+[5]cons!AA28</f>
        <v>192</v>
      </c>
      <c r="AC28" s="377">
        <f>+[5]cons!AB28</f>
        <v>0</v>
      </c>
      <c r="AD28" s="500">
        <f>+[5]cons!AC28</f>
        <v>320</v>
      </c>
    </row>
    <row r="29" spans="1:30" s="361" customFormat="1">
      <c r="A29" s="586" t="s">
        <v>1135</v>
      </c>
      <c r="B29" s="587">
        <f t="shared" si="3"/>
        <v>0</v>
      </c>
      <c r="C29" s="585">
        <f t="shared" si="4"/>
        <v>0</v>
      </c>
      <c r="D29" s="585">
        <f t="shared" si="5"/>
        <v>0</v>
      </c>
      <c r="E29" s="377">
        <f>+[5]cons!D29</f>
        <v>0</v>
      </c>
      <c r="F29" s="500">
        <f>+[5]cons!E29</f>
        <v>0</v>
      </c>
      <c r="G29" s="377">
        <f>+[5]cons!F29</f>
        <v>0</v>
      </c>
      <c r="H29" s="500">
        <f>+[5]cons!G29</f>
        <v>0</v>
      </c>
      <c r="I29" s="377">
        <f>+[5]cons!H29</f>
        <v>0</v>
      </c>
      <c r="J29" s="500">
        <f>+[5]cons!I29</f>
        <v>0</v>
      </c>
      <c r="K29" s="377">
        <f>+[5]cons!J29</f>
        <v>0</v>
      </c>
      <c r="L29" s="500">
        <f>+[5]cons!K29</f>
        <v>0</v>
      </c>
      <c r="M29" s="377">
        <f>+[5]cons!L29</f>
        <v>0</v>
      </c>
      <c r="N29" s="500">
        <f>+[5]cons!M29</f>
        <v>0</v>
      </c>
      <c r="O29" s="377">
        <f>+[5]cons!N29</f>
        <v>0</v>
      </c>
      <c r="P29" s="500">
        <f>+[5]cons!O29</f>
        <v>0</v>
      </c>
      <c r="Q29" s="377">
        <f>+[5]cons!P29</f>
        <v>0</v>
      </c>
      <c r="R29" s="500">
        <f>+[5]cons!Q29</f>
        <v>0</v>
      </c>
      <c r="S29" s="377">
        <f>+[5]cons!R29</f>
        <v>0</v>
      </c>
      <c r="T29" s="500">
        <f>+[5]cons!S29</f>
        <v>0</v>
      </c>
      <c r="U29" s="377">
        <f>+[5]cons!T29</f>
        <v>0</v>
      </c>
      <c r="V29" s="500">
        <f>+[5]cons!U29</f>
        <v>0</v>
      </c>
      <c r="W29" s="377">
        <f>+[5]cons!V29</f>
        <v>0</v>
      </c>
      <c r="X29" s="500">
        <f>+[5]cons!W29</f>
        <v>0</v>
      </c>
      <c r="Y29" s="377">
        <f>+[5]cons!X29</f>
        <v>0</v>
      </c>
      <c r="Z29" s="500">
        <f>+[5]cons!Y29</f>
        <v>0</v>
      </c>
      <c r="AA29" s="377">
        <f>+[5]cons!Z29</f>
        <v>0</v>
      </c>
      <c r="AB29" s="500">
        <f>+[5]cons!AA29</f>
        <v>0</v>
      </c>
      <c r="AC29" s="377">
        <f>+[5]cons!AB29</f>
        <v>0</v>
      </c>
      <c r="AD29" s="500">
        <f>+[5]cons!AC29</f>
        <v>0</v>
      </c>
    </row>
    <row r="30" spans="1:30" s="361" customFormat="1">
      <c r="A30" s="586" t="s">
        <v>1136</v>
      </c>
      <c r="B30" s="587">
        <f t="shared" si="3"/>
        <v>114</v>
      </c>
      <c r="C30" s="585">
        <f t="shared" si="4"/>
        <v>0</v>
      </c>
      <c r="D30" s="585">
        <f t="shared" si="5"/>
        <v>114</v>
      </c>
      <c r="E30" s="377">
        <f>+[5]cons!D30</f>
        <v>0</v>
      </c>
      <c r="F30" s="500">
        <f>+[5]cons!E30</f>
        <v>0</v>
      </c>
      <c r="G30" s="377">
        <f>+[5]cons!F30</f>
        <v>0</v>
      </c>
      <c r="H30" s="500">
        <f>+[5]cons!G30</f>
        <v>0</v>
      </c>
      <c r="I30" s="377">
        <f>+[5]cons!H30</f>
        <v>0</v>
      </c>
      <c r="J30" s="500">
        <f>+[5]cons!I30</f>
        <v>15</v>
      </c>
      <c r="K30" s="377">
        <f>+[5]cons!J30</f>
        <v>0</v>
      </c>
      <c r="L30" s="500">
        <f>+[5]cons!K30</f>
        <v>41</v>
      </c>
      <c r="M30" s="377">
        <f>+[5]cons!L30</f>
        <v>0</v>
      </c>
      <c r="N30" s="500">
        <f>+[5]cons!M30</f>
        <v>41</v>
      </c>
      <c r="O30" s="377">
        <f>+[5]cons!N30</f>
        <v>0</v>
      </c>
      <c r="P30" s="500">
        <f>+[5]cons!O30</f>
        <v>0</v>
      </c>
      <c r="Q30" s="377">
        <f>+[5]cons!P30</f>
        <v>0</v>
      </c>
      <c r="R30" s="500">
        <f>+[5]cons!Q30</f>
        <v>7</v>
      </c>
      <c r="S30" s="377">
        <f>+[5]cons!R30</f>
        <v>0</v>
      </c>
      <c r="T30" s="500">
        <f>+[5]cons!S30</f>
        <v>0</v>
      </c>
      <c r="U30" s="377">
        <f>+[5]cons!T30</f>
        <v>0</v>
      </c>
      <c r="V30" s="500">
        <f>+[5]cons!U30</f>
        <v>6</v>
      </c>
      <c r="W30" s="377">
        <f>+[5]cons!V30</f>
        <v>0</v>
      </c>
      <c r="X30" s="500">
        <f>+[5]cons!W30</f>
        <v>0</v>
      </c>
      <c r="Y30" s="377">
        <f>+[5]cons!X30</f>
        <v>0</v>
      </c>
      <c r="Z30" s="500">
        <f>+[5]cons!Y30</f>
        <v>0</v>
      </c>
      <c r="AA30" s="377">
        <f>+[5]cons!Z30</f>
        <v>0</v>
      </c>
      <c r="AB30" s="500">
        <f>+[5]cons!AA30</f>
        <v>4</v>
      </c>
      <c r="AC30" s="377">
        <f>+[5]cons!AB30</f>
        <v>0</v>
      </c>
      <c r="AD30" s="500">
        <f>+[5]cons!AC30</f>
        <v>0</v>
      </c>
    </row>
    <row r="31" spans="1:30" s="361" customFormat="1">
      <c r="A31" s="586" t="s">
        <v>1447</v>
      </c>
      <c r="B31" s="587">
        <f t="shared" si="3"/>
        <v>170</v>
      </c>
      <c r="C31" s="585">
        <f t="shared" si="4"/>
        <v>0</v>
      </c>
      <c r="D31" s="585">
        <f t="shared" si="5"/>
        <v>170</v>
      </c>
      <c r="E31" s="377">
        <f>+[5]cons!D31</f>
        <v>0</v>
      </c>
      <c r="F31" s="500">
        <f>+[5]cons!E31</f>
        <v>0</v>
      </c>
      <c r="G31" s="377">
        <f>+[5]cons!F31</f>
        <v>0</v>
      </c>
      <c r="H31" s="500">
        <f>+[5]cons!G31</f>
        <v>0</v>
      </c>
      <c r="I31" s="377">
        <f>+[5]cons!H31</f>
        <v>0</v>
      </c>
      <c r="J31" s="500">
        <f>+[5]cons!I31</f>
        <v>65</v>
      </c>
      <c r="K31" s="377">
        <f>+[5]cons!J31</f>
        <v>0</v>
      </c>
      <c r="L31" s="500">
        <f>+[5]cons!K31</f>
        <v>7</v>
      </c>
      <c r="M31" s="377">
        <f>+[5]cons!L31</f>
        <v>0</v>
      </c>
      <c r="N31" s="500">
        <f>+[5]cons!M31</f>
        <v>2</v>
      </c>
      <c r="O31" s="377">
        <f>+[5]cons!N31</f>
        <v>0</v>
      </c>
      <c r="P31" s="500">
        <f>+[5]cons!O31</f>
        <v>30</v>
      </c>
      <c r="Q31" s="377">
        <f>+[5]cons!P31</f>
        <v>0</v>
      </c>
      <c r="R31" s="500">
        <f>+[5]cons!Q31</f>
        <v>46</v>
      </c>
      <c r="S31" s="377">
        <f>+[5]cons!R31</f>
        <v>0</v>
      </c>
      <c r="T31" s="500">
        <f>+[5]cons!S31</f>
        <v>0</v>
      </c>
      <c r="U31" s="377">
        <f>+[5]cons!T31</f>
        <v>0</v>
      </c>
      <c r="V31" s="500">
        <f>+[5]cons!U31</f>
        <v>13</v>
      </c>
      <c r="W31" s="377">
        <f>+[5]cons!V31</f>
        <v>0</v>
      </c>
      <c r="X31" s="500">
        <f>+[5]cons!W31</f>
        <v>0</v>
      </c>
      <c r="Y31" s="377">
        <f>+[5]cons!X31</f>
        <v>0</v>
      </c>
      <c r="Z31" s="500">
        <f>+[5]cons!Y31</f>
        <v>4</v>
      </c>
      <c r="AA31" s="377">
        <f>+[5]cons!Z31</f>
        <v>0</v>
      </c>
      <c r="AB31" s="500">
        <f>+[5]cons!AA31</f>
        <v>3</v>
      </c>
      <c r="AC31" s="377">
        <f>+[5]cons!AB31</f>
        <v>0</v>
      </c>
      <c r="AD31" s="500">
        <f>+[5]cons!AC31</f>
        <v>0</v>
      </c>
    </row>
    <row r="32" spans="1:30" s="361" customFormat="1">
      <c r="A32" s="586" t="s">
        <v>1137</v>
      </c>
      <c r="B32" s="587">
        <f t="shared" si="3"/>
        <v>536</v>
      </c>
      <c r="C32" s="585">
        <f t="shared" si="4"/>
        <v>71</v>
      </c>
      <c r="D32" s="585">
        <f t="shared" si="5"/>
        <v>465</v>
      </c>
      <c r="E32" s="377">
        <f>+[5]cons!D32</f>
        <v>0</v>
      </c>
      <c r="F32" s="500">
        <f>+[5]cons!E32</f>
        <v>0</v>
      </c>
      <c r="G32" s="377">
        <f>+[5]cons!F32</f>
        <v>0</v>
      </c>
      <c r="H32" s="500">
        <f>+[5]cons!G32</f>
        <v>0</v>
      </c>
      <c r="I32" s="377">
        <f>+[5]cons!H32</f>
        <v>0</v>
      </c>
      <c r="J32" s="500">
        <f>+[5]cons!I32</f>
        <v>0</v>
      </c>
      <c r="K32" s="377">
        <f>+[5]cons!J32</f>
        <v>20</v>
      </c>
      <c r="L32" s="500">
        <f>+[5]cons!K32</f>
        <v>94</v>
      </c>
      <c r="M32" s="377">
        <f>+[5]cons!L32</f>
        <v>0</v>
      </c>
      <c r="N32" s="500">
        <f>+[5]cons!M32</f>
        <v>108</v>
      </c>
      <c r="O32" s="377">
        <f>+[5]cons!N32</f>
        <v>0</v>
      </c>
      <c r="P32" s="500">
        <f>+[5]cons!O32</f>
        <v>0</v>
      </c>
      <c r="Q32" s="377">
        <f>+[5]cons!P32</f>
        <v>38</v>
      </c>
      <c r="R32" s="500">
        <f>+[5]cons!Q32</f>
        <v>166</v>
      </c>
      <c r="S32" s="377">
        <f>+[5]cons!R32</f>
        <v>13</v>
      </c>
      <c r="T32" s="500">
        <f>+[5]cons!S32</f>
        <v>82</v>
      </c>
      <c r="U32" s="377">
        <f>+[5]cons!T32</f>
        <v>0</v>
      </c>
      <c r="V32" s="500">
        <f>+[5]cons!U32</f>
        <v>0</v>
      </c>
      <c r="W32" s="377">
        <f>+[5]cons!V32</f>
        <v>0</v>
      </c>
      <c r="X32" s="500">
        <f>+[5]cons!W32</f>
        <v>0</v>
      </c>
      <c r="Y32" s="377">
        <f>+[5]cons!X32</f>
        <v>0</v>
      </c>
      <c r="Z32" s="500">
        <f>+[5]cons!Y32</f>
        <v>0</v>
      </c>
      <c r="AA32" s="377">
        <f>+[5]cons!Z32</f>
        <v>0</v>
      </c>
      <c r="AB32" s="500">
        <f>+[5]cons!AA32</f>
        <v>15</v>
      </c>
      <c r="AC32" s="377">
        <f>+[5]cons!AB32</f>
        <v>0</v>
      </c>
      <c r="AD32" s="500">
        <f>+[5]cons!AC32</f>
        <v>0</v>
      </c>
    </row>
    <row r="33" spans="1:30" s="361" customFormat="1">
      <c r="A33" s="586" t="s">
        <v>1138</v>
      </c>
      <c r="B33" s="587">
        <f t="shared" si="3"/>
        <v>0</v>
      </c>
      <c r="C33" s="585">
        <f t="shared" si="4"/>
        <v>0</v>
      </c>
      <c r="D33" s="585">
        <f t="shared" si="5"/>
        <v>0</v>
      </c>
      <c r="E33" s="377">
        <f>+[5]cons!D33</f>
        <v>0</v>
      </c>
      <c r="F33" s="500">
        <f>+[5]cons!E33</f>
        <v>0</v>
      </c>
      <c r="G33" s="377">
        <f>+[5]cons!F33</f>
        <v>0</v>
      </c>
      <c r="H33" s="500">
        <f>+[5]cons!G33</f>
        <v>0</v>
      </c>
      <c r="I33" s="377">
        <f>+[5]cons!H33</f>
        <v>0</v>
      </c>
      <c r="J33" s="500">
        <f>+[5]cons!I33</f>
        <v>0</v>
      </c>
      <c r="K33" s="377">
        <f>+[5]cons!J33</f>
        <v>0</v>
      </c>
      <c r="L33" s="500">
        <f>+[5]cons!K33</f>
        <v>0</v>
      </c>
      <c r="M33" s="377">
        <f>+[5]cons!L33</f>
        <v>0</v>
      </c>
      <c r="N33" s="500">
        <f>+[5]cons!M33</f>
        <v>0</v>
      </c>
      <c r="O33" s="377">
        <f>+[5]cons!N33</f>
        <v>0</v>
      </c>
      <c r="P33" s="500">
        <f>+[5]cons!O33</f>
        <v>0</v>
      </c>
      <c r="Q33" s="377">
        <f>+[5]cons!P33</f>
        <v>0</v>
      </c>
      <c r="R33" s="500">
        <f>+[5]cons!Q33</f>
        <v>0</v>
      </c>
      <c r="S33" s="377">
        <f>+[5]cons!R33</f>
        <v>0</v>
      </c>
      <c r="T33" s="500">
        <f>+[5]cons!S33</f>
        <v>0</v>
      </c>
      <c r="U33" s="377">
        <f>+[5]cons!T33</f>
        <v>0</v>
      </c>
      <c r="V33" s="500">
        <f>+[5]cons!U33</f>
        <v>0</v>
      </c>
      <c r="W33" s="377">
        <f>+[5]cons!V33</f>
        <v>0</v>
      </c>
      <c r="X33" s="500">
        <f>+[5]cons!W33</f>
        <v>0</v>
      </c>
      <c r="Y33" s="377">
        <f>+[5]cons!X33</f>
        <v>0</v>
      </c>
      <c r="Z33" s="500">
        <f>+[5]cons!Y33</f>
        <v>0</v>
      </c>
      <c r="AA33" s="377">
        <f>+[5]cons!Z33</f>
        <v>0</v>
      </c>
      <c r="AB33" s="500">
        <f>+[5]cons!AA33</f>
        <v>0</v>
      </c>
      <c r="AC33" s="377">
        <f>+[5]cons!AB33</f>
        <v>0</v>
      </c>
      <c r="AD33" s="500">
        <f>+[5]cons!AC33</f>
        <v>0</v>
      </c>
    </row>
    <row r="34" spans="1:30" s="361" customFormat="1">
      <c r="A34" s="586" t="s">
        <v>1139</v>
      </c>
      <c r="B34" s="587">
        <f t="shared" si="3"/>
        <v>0</v>
      </c>
      <c r="C34" s="585">
        <f t="shared" si="4"/>
        <v>0</v>
      </c>
      <c r="D34" s="585">
        <f t="shared" si="5"/>
        <v>0</v>
      </c>
      <c r="E34" s="377">
        <f>+[5]cons!D34</f>
        <v>0</v>
      </c>
      <c r="F34" s="500">
        <f>+[5]cons!E34</f>
        <v>0</v>
      </c>
      <c r="G34" s="377">
        <f>+[5]cons!F34</f>
        <v>0</v>
      </c>
      <c r="H34" s="500">
        <f>+[5]cons!G34</f>
        <v>0</v>
      </c>
      <c r="I34" s="377">
        <f>+[5]cons!H34</f>
        <v>0</v>
      </c>
      <c r="J34" s="500">
        <f>+[5]cons!I34</f>
        <v>0</v>
      </c>
      <c r="K34" s="377">
        <f>+[5]cons!J34</f>
        <v>0</v>
      </c>
      <c r="L34" s="500">
        <f>+[5]cons!K34</f>
        <v>0</v>
      </c>
      <c r="M34" s="377">
        <f>+[5]cons!L34</f>
        <v>0</v>
      </c>
      <c r="N34" s="500">
        <f>+[5]cons!M34</f>
        <v>0</v>
      </c>
      <c r="O34" s="377">
        <f>+[5]cons!N34</f>
        <v>0</v>
      </c>
      <c r="P34" s="500">
        <f>+[5]cons!O34</f>
        <v>0</v>
      </c>
      <c r="Q34" s="377">
        <f>+[5]cons!P34</f>
        <v>0</v>
      </c>
      <c r="R34" s="500">
        <f>+[5]cons!Q34</f>
        <v>0</v>
      </c>
      <c r="S34" s="377">
        <f>+[5]cons!R34</f>
        <v>0</v>
      </c>
      <c r="T34" s="500">
        <f>+[5]cons!S34</f>
        <v>0</v>
      </c>
      <c r="U34" s="377">
        <f>+[5]cons!T34</f>
        <v>0</v>
      </c>
      <c r="V34" s="500">
        <f>+[5]cons!U34</f>
        <v>0</v>
      </c>
      <c r="W34" s="377">
        <f>+[5]cons!V34</f>
        <v>0</v>
      </c>
      <c r="X34" s="500">
        <f>+[5]cons!W34</f>
        <v>0</v>
      </c>
      <c r="Y34" s="377">
        <f>+[5]cons!X34</f>
        <v>0</v>
      </c>
      <c r="Z34" s="500">
        <f>+[5]cons!Y34</f>
        <v>0</v>
      </c>
      <c r="AA34" s="377">
        <f>+[5]cons!Z34</f>
        <v>0</v>
      </c>
      <c r="AB34" s="500">
        <f>+[5]cons!AA34</f>
        <v>0</v>
      </c>
      <c r="AC34" s="377">
        <f>+[5]cons!AB34</f>
        <v>0</v>
      </c>
      <c r="AD34" s="500">
        <f>+[5]cons!AC34</f>
        <v>0</v>
      </c>
    </row>
    <row r="35" spans="1:30" s="361" customFormat="1">
      <c r="A35" s="586" t="s">
        <v>1140</v>
      </c>
      <c r="B35" s="587">
        <f t="shared" si="3"/>
        <v>0</v>
      </c>
      <c r="C35" s="585">
        <f t="shared" si="4"/>
        <v>0</v>
      </c>
      <c r="D35" s="585">
        <f t="shared" si="5"/>
        <v>0</v>
      </c>
      <c r="E35" s="377">
        <f>+[5]cons!D35</f>
        <v>0</v>
      </c>
      <c r="F35" s="500">
        <f>+[5]cons!E35</f>
        <v>0</v>
      </c>
      <c r="G35" s="377">
        <f>+[5]cons!F35</f>
        <v>0</v>
      </c>
      <c r="H35" s="500">
        <f>+[5]cons!G35</f>
        <v>0</v>
      </c>
      <c r="I35" s="377">
        <f>+[5]cons!H35</f>
        <v>0</v>
      </c>
      <c r="J35" s="500">
        <f>+[5]cons!I35</f>
        <v>0</v>
      </c>
      <c r="K35" s="377">
        <f>+[5]cons!J35</f>
        <v>0</v>
      </c>
      <c r="L35" s="500">
        <f>+[5]cons!K35</f>
        <v>0</v>
      </c>
      <c r="M35" s="377">
        <f>+[5]cons!L35</f>
        <v>0</v>
      </c>
      <c r="N35" s="500">
        <f>+[5]cons!M35</f>
        <v>0</v>
      </c>
      <c r="O35" s="377">
        <f>+[5]cons!N35</f>
        <v>0</v>
      </c>
      <c r="P35" s="500">
        <f>+[5]cons!O35</f>
        <v>0</v>
      </c>
      <c r="Q35" s="377">
        <f>+[5]cons!P35</f>
        <v>0</v>
      </c>
      <c r="R35" s="500">
        <f>+[5]cons!Q35</f>
        <v>0</v>
      </c>
      <c r="S35" s="377">
        <f>+[5]cons!R35</f>
        <v>0</v>
      </c>
      <c r="T35" s="500">
        <f>+[5]cons!S35</f>
        <v>0</v>
      </c>
      <c r="U35" s="377">
        <f>+[5]cons!T35</f>
        <v>0</v>
      </c>
      <c r="V35" s="500">
        <f>+[5]cons!U35</f>
        <v>0</v>
      </c>
      <c r="W35" s="377">
        <f>+[5]cons!V35</f>
        <v>0</v>
      </c>
      <c r="X35" s="500">
        <f>+[5]cons!W35</f>
        <v>0</v>
      </c>
      <c r="Y35" s="377">
        <f>+[5]cons!X35</f>
        <v>0</v>
      </c>
      <c r="Z35" s="500">
        <f>+[5]cons!Y35</f>
        <v>0</v>
      </c>
      <c r="AA35" s="377">
        <f>+[5]cons!Z35</f>
        <v>0</v>
      </c>
      <c r="AB35" s="500">
        <f>+[5]cons!AA35</f>
        <v>0</v>
      </c>
      <c r="AC35" s="377">
        <f>+[5]cons!AB35</f>
        <v>0</v>
      </c>
      <c r="AD35" s="500">
        <f>+[5]cons!AC35</f>
        <v>0</v>
      </c>
    </row>
    <row r="36" spans="1:30" s="361" customFormat="1">
      <c r="A36" s="586" t="s">
        <v>1141</v>
      </c>
      <c r="B36" s="587">
        <f t="shared" si="3"/>
        <v>12</v>
      </c>
      <c r="C36" s="585">
        <f t="shared" si="4"/>
        <v>0</v>
      </c>
      <c r="D36" s="585">
        <f t="shared" si="5"/>
        <v>12</v>
      </c>
      <c r="E36" s="377">
        <f>+[5]cons!D36</f>
        <v>0</v>
      </c>
      <c r="F36" s="500">
        <f>+[5]cons!E36</f>
        <v>0</v>
      </c>
      <c r="G36" s="377">
        <f>+[5]cons!F36</f>
        <v>0</v>
      </c>
      <c r="H36" s="500">
        <f>+[5]cons!G36</f>
        <v>4</v>
      </c>
      <c r="I36" s="377">
        <f>+[5]cons!H36</f>
        <v>0</v>
      </c>
      <c r="J36" s="500">
        <f>+[5]cons!I36</f>
        <v>0</v>
      </c>
      <c r="K36" s="377">
        <f>+[5]cons!J36</f>
        <v>0</v>
      </c>
      <c r="L36" s="500">
        <f>+[5]cons!K36</f>
        <v>6</v>
      </c>
      <c r="M36" s="377">
        <f>+[5]cons!L36</f>
        <v>0</v>
      </c>
      <c r="N36" s="500">
        <f>+[5]cons!M36</f>
        <v>0</v>
      </c>
      <c r="O36" s="377">
        <f>+[5]cons!N36</f>
        <v>0</v>
      </c>
      <c r="P36" s="500">
        <f>+[5]cons!O36</f>
        <v>0</v>
      </c>
      <c r="Q36" s="377">
        <f>+[5]cons!P36</f>
        <v>0</v>
      </c>
      <c r="R36" s="500">
        <f>+[5]cons!Q36</f>
        <v>1</v>
      </c>
      <c r="S36" s="377">
        <f>+[5]cons!R36</f>
        <v>0</v>
      </c>
      <c r="T36" s="500">
        <f>+[5]cons!S36</f>
        <v>1</v>
      </c>
      <c r="U36" s="377">
        <f>+[5]cons!T36</f>
        <v>0</v>
      </c>
      <c r="V36" s="500">
        <f>+[5]cons!U36</f>
        <v>0</v>
      </c>
      <c r="W36" s="377">
        <f>+[5]cons!V36</f>
        <v>0</v>
      </c>
      <c r="X36" s="500">
        <f>+[5]cons!W36</f>
        <v>0</v>
      </c>
      <c r="Y36" s="377">
        <f>+[5]cons!X36</f>
        <v>0</v>
      </c>
      <c r="Z36" s="500">
        <f>+[5]cons!Y36</f>
        <v>0</v>
      </c>
      <c r="AA36" s="377">
        <f>+[5]cons!Z36</f>
        <v>0</v>
      </c>
      <c r="AB36" s="500">
        <f>+[5]cons!AA36</f>
        <v>0</v>
      </c>
      <c r="AC36" s="377">
        <f>+[5]cons!AB36</f>
        <v>0</v>
      </c>
      <c r="AD36" s="500">
        <f>+[5]cons!AC36</f>
        <v>0</v>
      </c>
    </row>
    <row r="37" spans="1:30" s="361" customFormat="1">
      <c r="A37" s="586" t="s">
        <v>1142</v>
      </c>
      <c r="B37" s="587">
        <f t="shared" si="3"/>
        <v>743</v>
      </c>
      <c r="C37" s="585">
        <f t="shared" si="4"/>
        <v>19</v>
      </c>
      <c r="D37" s="585">
        <f t="shared" si="5"/>
        <v>724</v>
      </c>
      <c r="E37" s="377">
        <f>+[5]cons!D37</f>
        <v>3</v>
      </c>
      <c r="F37" s="500">
        <f>+[5]cons!E37</f>
        <v>35</v>
      </c>
      <c r="G37" s="377">
        <f>+[5]cons!F37</f>
        <v>0</v>
      </c>
      <c r="H37" s="500">
        <f>+[5]cons!G37</f>
        <v>60</v>
      </c>
      <c r="I37" s="377">
        <f>+[5]cons!H37</f>
        <v>0</v>
      </c>
      <c r="J37" s="500">
        <f>+[5]cons!I37</f>
        <v>15</v>
      </c>
      <c r="K37" s="377">
        <f>+[5]cons!J37</f>
        <v>6</v>
      </c>
      <c r="L37" s="500">
        <f>+[5]cons!K37</f>
        <v>17</v>
      </c>
      <c r="M37" s="377">
        <f>+[5]cons!L37</f>
        <v>1</v>
      </c>
      <c r="N37" s="500">
        <f>+[5]cons!M37</f>
        <v>41</v>
      </c>
      <c r="O37" s="377">
        <f>+[5]cons!N37</f>
        <v>0</v>
      </c>
      <c r="P37" s="500">
        <f>+[5]cons!O37</f>
        <v>9</v>
      </c>
      <c r="Q37" s="377">
        <f>+[5]cons!P37</f>
        <v>1</v>
      </c>
      <c r="R37" s="500">
        <f>+[5]cons!Q37</f>
        <v>86</v>
      </c>
      <c r="S37" s="377">
        <f>+[5]cons!R37</f>
        <v>0</v>
      </c>
      <c r="T37" s="500">
        <f>+[5]cons!S37</f>
        <v>163</v>
      </c>
      <c r="U37" s="377">
        <f>+[5]cons!T37</f>
        <v>4</v>
      </c>
      <c r="V37" s="500">
        <f>+[5]cons!U37</f>
        <v>64</v>
      </c>
      <c r="W37" s="377">
        <f>+[5]cons!V37</f>
        <v>1</v>
      </c>
      <c r="X37" s="500">
        <f>+[5]cons!W37</f>
        <v>122</v>
      </c>
      <c r="Y37" s="377">
        <f>+[5]cons!X37</f>
        <v>0</v>
      </c>
      <c r="Z37" s="500">
        <f>+[5]cons!Y37</f>
        <v>28</v>
      </c>
      <c r="AA37" s="377">
        <f>+[5]cons!Z37</f>
        <v>0</v>
      </c>
      <c r="AB37" s="500">
        <f>+[5]cons!AA37</f>
        <v>46</v>
      </c>
      <c r="AC37" s="377">
        <f>+[5]cons!AB37</f>
        <v>3</v>
      </c>
      <c r="AD37" s="500">
        <f>+[5]cons!AC37</f>
        <v>38</v>
      </c>
    </row>
    <row r="38" spans="1:30" s="361" customFormat="1">
      <c r="A38" s="586" t="s">
        <v>1143</v>
      </c>
      <c r="B38" s="587">
        <f t="shared" si="3"/>
        <v>0</v>
      </c>
      <c r="C38" s="585">
        <f t="shared" si="4"/>
        <v>0</v>
      </c>
      <c r="D38" s="585">
        <f t="shared" si="5"/>
        <v>0</v>
      </c>
      <c r="E38" s="377">
        <f>+[5]cons!D38</f>
        <v>0</v>
      </c>
      <c r="F38" s="500">
        <f>+[5]cons!E38</f>
        <v>0</v>
      </c>
      <c r="G38" s="377">
        <f>+[5]cons!F38</f>
        <v>0</v>
      </c>
      <c r="H38" s="500">
        <f>+[5]cons!G38</f>
        <v>0</v>
      </c>
      <c r="I38" s="377">
        <f>+[5]cons!H38</f>
        <v>0</v>
      </c>
      <c r="J38" s="500">
        <f>+[5]cons!I38</f>
        <v>0</v>
      </c>
      <c r="K38" s="377">
        <f>+[5]cons!J38</f>
        <v>0</v>
      </c>
      <c r="L38" s="500">
        <f>+[5]cons!K38</f>
        <v>0</v>
      </c>
      <c r="M38" s="377">
        <f>+[5]cons!L38</f>
        <v>0</v>
      </c>
      <c r="N38" s="500">
        <f>+[5]cons!M38</f>
        <v>0</v>
      </c>
      <c r="O38" s="377">
        <f>+[5]cons!N38</f>
        <v>0</v>
      </c>
      <c r="P38" s="500">
        <f>+[5]cons!O38</f>
        <v>0</v>
      </c>
      <c r="Q38" s="377">
        <f>+[5]cons!P38</f>
        <v>0</v>
      </c>
      <c r="R38" s="500">
        <f>+[5]cons!Q38</f>
        <v>0</v>
      </c>
      <c r="S38" s="377">
        <f>+[5]cons!R38</f>
        <v>0</v>
      </c>
      <c r="T38" s="500">
        <f>+[5]cons!S38</f>
        <v>0</v>
      </c>
      <c r="U38" s="377">
        <f>+[5]cons!T38</f>
        <v>0</v>
      </c>
      <c r="V38" s="500">
        <f>+[5]cons!U38</f>
        <v>0</v>
      </c>
      <c r="W38" s="377">
        <f>+[5]cons!V38</f>
        <v>0</v>
      </c>
      <c r="X38" s="500">
        <f>+[5]cons!W38</f>
        <v>0</v>
      </c>
      <c r="Y38" s="377">
        <f>+[5]cons!X38</f>
        <v>0</v>
      </c>
      <c r="Z38" s="500">
        <f>+[5]cons!Y38</f>
        <v>0</v>
      </c>
      <c r="AA38" s="377">
        <f>+[5]cons!Z38</f>
        <v>0</v>
      </c>
      <c r="AB38" s="500">
        <f>+[5]cons!AA38</f>
        <v>0</v>
      </c>
      <c r="AC38" s="377">
        <f>+[5]cons!AB38</f>
        <v>0</v>
      </c>
      <c r="AD38" s="500">
        <f>+[5]cons!AC38</f>
        <v>0</v>
      </c>
    </row>
    <row r="39" spans="1:30" s="361" customFormat="1">
      <c r="A39" s="586" t="s">
        <v>1144</v>
      </c>
      <c r="B39" s="587">
        <f t="shared" si="3"/>
        <v>0</v>
      </c>
      <c r="C39" s="585">
        <f t="shared" si="4"/>
        <v>0</v>
      </c>
      <c r="D39" s="585">
        <f t="shared" si="5"/>
        <v>0</v>
      </c>
      <c r="E39" s="377">
        <f>+[5]cons!D39</f>
        <v>0</v>
      </c>
      <c r="F39" s="500">
        <f>+[5]cons!E39</f>
        <v>0</v>
      </c>
      <c r="G39" s="377">
        <f>+[5]cons!F39</f>
        <v>0</v>
      </c>
      <c r="H39" s="500">
        <f>+[5]cons!G39</f>
        <v>0</v>
      </c>
      <c r="I39" s="377">
        <f>+[5]cons!H39</f>
        <v>0</v>
      </c>
      <c r="J39" s="500">
        <f>+[5]cons!I39</f>
        <v>0</v>
      </c>
      <c r="K39" s="377">
        <f>+[5]cons!J39</f>
        <v>0</v>
      </c>
      <c r="L39" s="500">
        <f>+[5]cons!K39</f>
        <v>0</v>
      </c>
      <c r="M39" s="377">
        <f>+[5]cons!L39</f>
        <v>0</v>
      </c>
      <c r="N39" s="500">
        <f>+[5]cons!M39</f>
        <v>0</v>
      </c>
      <c r="O39" s="377">
        <f>+[5]cons!N39</f>
        <v>0</v>
      </c>
      <c r="P39" s="500">
        <f>+[5]cons!O39</f>
        <v>0</v>
      </c>
      <c r="Q39" s="377">
        <f>+[5]cons!P39</f>
        <v>0</v>
      </c>
      <c r="R39" s="500">
        <f>+[5]cons!Q39</f>
        <v>0</v>
      </c>
      <c r="S39" s="377">
        <f>+[5]cons!R39</f>
        <v>0</v>
      </c>
      <c r="T39" s="500">
        <f>+[5]cons!S39</f>
        <v>0</v>
      </c>
      <c r="U39" s="377">
        <f>+[5]cons!T39</f>
        <v>0</v>
      </c>
      <c r="V39" s="500">
        <f>+[5]cons!U39</f>
        <v>0</v>
      </c>
      <c r="W39" s="377">
        <f>+[5]cons!V39</f>
        <v>0</v>
      </c>
      <c r="X39" s="500">
        <f>+[5]cons!W39</f>
        <v>0</v>
      </c>
      <c r="Y39" s="377">
        <f>+[5]cons!X39</f>
        <v>0</v>
      </c>
      <c r="Z39" s="500">
        <f>+[5]cons!Y39</f>
        <v>0</v>
      </c>
      <c r="AA39" s="377">
        <f>+[5]cons!Z39</f>
        <v>0</v>
      </c>
      <c r="AB39" s="500">
        <f>+[5]cons!AA39</f>
        <v>0</v>
      </c>
      <c r="AC39" s="377">
        <f>+[5]cons!AB39</f>
        <v>0</v>
      </c>
      <c r="AD39" s="500">
        <f>+[5]cons!AC39</f>
        <v>0</v>
      </c>
    </row>
    <row r="40" spans="1:30" s="361" customFormat="1">
      <c r="A40" s="586" t="s">
        <v>1145</v>
      </c>
      <c r="B40" s="587">
        <f t="shared" si="3"/>
        <v>1891</v>
      </c>
      <c r="C40" s="585">
        <f t="shared" si="4"/>
        <v>26</v>
      </c>
      <c r="D40" s="585">
        <f t="shared" si="5"/>
        <v>1865</v>
      </c>
      <c r="E40" s="377">
        <f>+[5]cons!D40</f>
        <v>2</v>
      </c>
      <c r="F40" s="500">
        <f>+[5]cons!E40</f>
        <v>239</v>
      </c>
      <c r="G40" s="377">
        <f>+[5]cons!F40</f>
        <v>0</v>
      </c>
      <c r="H40" s="500">
        <f>+[5]cons!G40</f>
        <v>225</v>
      </c>
      <c r="I40" s="377">
        <f>+[5]cons!H40</f>
        <v>0</v>
      </c>
      <c r="J40" s="500">
        <f>+[5]cons!I40</f>
        <v>105</v>
      </c>
      <c r="K40" s="377">
        <f>+[5]cons!J40</f>
        <v>18</v>
      </c>
      <c r="L40" s="500">
        <f>+[5]cons!K40</f>
        <v>78</v>
      </c>
      <c r="M40" s="377">
        <f>+[5]cons!L40</f>
        <v>0</v>
      </c>
      <c r="N40" s="500">
        <f>+[5]cons!M40</f>
        <v>159</v>
      </c>
      <c r="O40" s="377">
        <f>+[5]cons!N40</f>
        <v>0</v>
      </c>
      <c r="P40" s="500">
        <f>+[5]cons!O40</f>
        <v>42</v>
      </c>
      <c r="Q40" s="377">
        <f>+[5]cons!P40</f>
        <v>1</v>
      </c>
      <c r="R40" s="500">
        <f>+[5]cons!Q40</f>
        <v>193</v>
      </c>
      <c r="S40" s="377">
        <f>+[5]cons!R40</f>
        <v>3</v>
      </c>
      <c r="T40" s="500">
        <f>+[5]cons!S40</f>
        <v>301</v>
      </c>
      <c r="U40" s="377">
        <f>+[5]cons!T40</f>
        <v>0</v>
      </c>
      <c r="V40" s="500">
        <f>+[5]cons!U40</f>
        <v>107</v>
      </c>
      <c r="W40" s="377">
        <f>+[5]cons!V40</f>
        <v>0</v>
      </c>
      <c r="X40" s="500">
        <f>+[5]cons!W40</f>
        <v>156</v>
      </c>
      <c r="Y40" s="377">
        <f>+[5]cons!X40</f>
        <v>2</v>
      </c>
      <c r="Z40" s="500">
        <f>+[5]cons!Y40</f>
        <v>67</v>
      </c>
      <c r="AA40" s="377">
        <f>+[5]cons!Z40</f>
        <v>0</v>
      </c>
      <c r="AB40" s="500">
        <f>+[5]cons!AA40</f>
        <v>68</v>
      </c>
      <c r="AC40" s="377">
        <f>+[5]cons!AB40</f>
        <v>0</v>
      </c>
      <c r="AD40" s="500">
        <f>+[5]cons!AC40</f>
        <v>125</v>
      </c>
    </row>
    <row r="41" spans="1:30" s="361" customFormat="1">
      <c r="A41" s="586" t="s">
        <v>1146</v>
      </c>
      <c r="B41" s="587">
        <f t="shared" si="3"/>
        <v>2933</v>
      </c>
      <c r="C41" s="585">
        <f t="shared" si="4"/>
        <v>30</v>
      </c>
      <c r="D41" s="585">
        <f t="shared" si="5"/>
        <v>2903</v>
      </c>
      <c r="E41" s="377">
        <f>+[5]cons!D41</f>
        <v>2</v>
      </c>
      <c r="F41" s="500">
        <f>+[5]cons!E41</f>
        <v>574</v>
      </c>
      <c r="G41" s="377">
        <f>+[5]cons!F41</f>
        <v>0</v>
      </c>
      <c r="H41" s="500">
        <f>+[5]cons!G41</f>
        <v>308</v>
      </c>
      <c r="I41" s="377">
        <f>+[5]cons!H41</f>
        <v>1</v>
      </c>
      <c r="J41" s="500">
        <f>+[5]cons!I41</f>
        <v>113</v>
      </c>
      <c r="K41" s="377">
        <f>+[5]cons!J41</f>
        <v>15</v>
      </c>
      <c r="L41" s="500">
        <f>+[5]cons!K41</f>
        <v>115</v>
      </c>
      <c r="M41" s="377">
        <f>+[5]cons!L41</f>
        <v>0</v>
      </c>
      <c r="N41" s="500">
        <f>+[5]cons!M41</f>
        <v>102</v>
      </c>
      <c r="O41" s="377">
        <f>+[5]cons!N41</f>
        <v>1</v>
      </c>
      <c r="P41" s="500">
        <f>+[5]cons!O41</f>
        <v>167</v>
      </c>
      <c r="Q41" s="377">
        <f>+[5]cons!P41</f>
        <v>0</v>
      </c>
      <c r="R41" s="500">
        <f>+[5]cons!Q41</f>
        <v>236</v>
      </c>
      <c r="S41" s="377">
        <f>+[5]cons!R41</f>
        <v>0</v>
      </c>
      <c r="T41" s="500">
        <f>+[5]cons!S41</f>
        <v>503</v>
      </c>
      <c r="U41" s="377">
        <f>+[5]cons!T41</f>
        <v>0</v>
      </c>
      <c r="V41" s="500">
        <f>+[5]cons!U41</f>
        <v>101</v>
      </c>
      <c r="W41" s="377">
        <f>+[5]cons!V41</f>
        <v>6</v>
      </c>
      <c r="X41" s="500">
        <f>+[5]cons!W41</f>
        <v>256</v>
      </c>
      <c r="Y41" s="377">
        <f>+[5]cons!X41</f>
        <v>0</v>
      </c>
      <c r="Z41" s="500">
        <f>+[5]cons!Y41</f>
        <v>38</v>
      </c>
      <c r="AA41" s="377">
        <f>+[5]cons!Z41</f>
        <v>4</v>
      </c>
      <c r="AB41" s="500">
        <f>+[5]cons!AA41</f>
        <v>220</v>
      </c>
      <c r="AC41" s="377">
        <f>+[5]cons!AB41</f>
        <v>1</v>
      </c>
      <c r="AD41" s="500">
        <f>+[5]cons!AC41</f>
        <v>170</v>
      </c>
    </row>
    <row r="42" spans="1:30" s="361" customFormat="1">
      <c r="A42" s="586" t="s">
        <v>1448</v>
      </c>
      <c r="B42" s="587">
        <f t="shared" si="3"/>
        <v>315</v>
      </c>
      <c r="C42" s="585">
        <f t="shared" si="4"/>
        <v>2</v>
      </c>
      <c r="D42" s="585">
        <f t="shared" si="5"/>
        <v>313</v>
      </c>
      <c r="E42" s="377">
        <f>+[5]cons!D42</f>
        <v>0</v>
      </c>
      <c r="F42" s="500">
        <f>+[5]cons!E42</f>
        <v>0</v>
      </c>
      <c r="G42" s="377">
        <f>+[5]cons!F42</f>
        <v>0</v>
      </c>
      <c r="H42" s="500">
        <f>+[5]cons!G42</f>
        <v>49</v>
      </c>
      <c r="I42" s="377">
        <f>+[5]cons!H42</f>
        <v>0</v>
      </c>
      <c r="J42" s="500">
        <f>+[5]cons!I42</f>
        <v>21</v>
      </c>
      <c r="K42" s="377">
        <f>+[5]cons!J42</f>
        <v>2</v>
      </c>
      <c r="L42" s="500">
        <f>+[5]cons!K42</f>
        <v>24</v>
      </c>
      <c r="M42" s="377">
        <f>+[5]cons!L42</f>
        <v>0</v>
      </c>
      <c r="N42" s="500">
        <f>+[5]cons!M42</f>
        <v>43</v>
      </c>
      <c r="O42" s="377">
        <f>+[5]cons!N42</f>
        <v>0</v>
      </c>
      <c r="P42" s="500">
        <f>+[5]cons!O42</f>
        <v>1</v>
      </c>
      <c r="Q42" s="377">
        <f>+[5]cons!P42</f>
        <v>0</v>
      </c>
      <c r="R42" s="500">
        <f>+[5]cons!Q42</f>
        <v>37</v>
      </c>
      <c r="S42" s="377">
        <f>+[5]cons!R42</f>
        <v>0</v>
      </c>
      <c r="T42" s="500">
        <f>+[5]cons!S42</f>
        <v>62</v>
      </c>
      <c r="U42" s="377">
        <f>+[5]cons!T42</f>
        <v>0</v>
      </c>
      <c r="V42" s="500">
        <f>+[5]cons!U42</f>
        <v>20</v>
      </c>
      <c r="W42" s="377">
        <f>+[5]cons!V42</f>
        <v>0</v>
      </c>
      <c r="X42" s="500">
        <f>+[5]cons!W42</f>
        <v>0</v>
      </c>
      <c r="Y42" s="377">
        <f>+[5]cons!X42</f>
        <v>0</v>
      </c>
      <c r="Z42" s="500">
        <f>+[5]cons!Y42</f>
        <v>10</v>
      </c>
      <c r="AA42" s="377">
        <f>+[5]cons!Z42</f>
        <v>0</v>
      </c>
      <c r="AB42" s="500">
        <f>+[5]cons!AA42</f>
        <v>17</v>
      </c>
      <c r="AC42" s="377">
        <f>+[5]cons!AB42</f>
        <v>0</v>
      </c>
      <c r="AD42" s="500">
        <f>+[5]cons!AC42</f>
        <v>29</v>
      </c>
    </row>
    <row r="43" spans="1:30" s="361" customFormat="1">
      <c r="A43" s="586" t="s">
        <v>1449</v>
      </c>
      <c r="B43" s="587">
        <f t="shared" ref="B43:B48" si="6">SUM(C43:D43)</f>
        <v>254</v>
      </c>
      <c r="C43" s="1079">
        <f t="shared" ref="C43:D48" si="7">+E43+G43+I43+K43+M43+O43+Q43+S43+U43+W43+Y43+AA43+AC43</f>
        <v>3</v>
      </c>
      <c r="D43" s="585">
        <f t="shared" si="7"/>
        <v>251</v>
      </c>
      <c r="E43" s="377">
        <f>+[5]cons!D43</f>
        <v>0</v>
      </c>
      <c r="F43" s="500">
        <f>+[5]cons!E43</f>
        <v>0</v>
      </c>
      <c r="G43" s="377">
        <f>+[5]cons!F43</f>
        <v>0</v>
      </c>
      <c r="H43" s="500">
        <f>+[5]cons!G43</f>
        <v>0</v>
      </c>
      <c r="I43" s="377">
        <f>+[5]cons!H43</f>
        <v>3</v>
      </c>
      <c r="J43" s="500">
        <f>+[5]cons!I43</f>
        <v>86</v>
      </c>
      <c r="K43" s="377">
        <f>+[5]cons!J43</f>
        <v>0</v>
      </c>
      <c r="L43" s="500">
        <f>+[5]cons!K43</f>
        <v>0</v>
      </c>
      <c r="M43" s="377">
        <f>+[5]cons!L43</f>
        <v>0</v>
      </c>
      <c r="N43" s="500">
        <f>+[5]cons!M43</f>
        <v>0</v>
      </c>
      <c r="O43" s="377">
        <f>+[5]cons!N43</f>
        <v>0</v>
      </c>
      <c r="P43" s="500">
        <f>+[5]cons!O43</f>
        <v>0</v>
      </c>
      <c r="Q43" s="377">
        <f>+[5]cons!P43</f>
        <v>0</v>
      </c>
      <c r="R43" s="500">
        <f>+[5]cons!Q43</f>
        <v>14</v>
      </c>
      <c r="S43" s="377">
        <f>+[5]cons!R43</f>
        <v>0</v>
      </c>
      <c r="T43" s="500">
        <f>+[5]cons!S43</f>
        <v>140</v>
      </c>
      <c r="U43" s="377">
        <f>+[5]cons!T43</f>
        <v>0</v>
      </c>
      <c r="V43" s="500">
        <f>+[5]cons!U43</f>
        <v>2</v>
      </c>
      <c r="W43" s="377">
        <f>+[5]cons!V43</f>
        <v>0</v>
      </c>
      <c r="X43" s="500">
        <f>+[5]cons!W43</f>
        <v>0</v>
      </c>
      <c r="Y43" s="377">
        <f>+[5]cons!X43</f>
        <v>0</v>
      </c>
      <c r="Z43" s="500">
        <f>+[5]cons!Y43</f>
        <v>0</v>
      </c>
      <c r="AA43" s="377">
        <f>+[5]cons!Z43</f>
        <v>0</v>
      </c>
      <c r="AB43" s="500">
        <f>+[5]cons!AA43</f>
        <v>9</v>
      </c>
      <c r="AC43" s="377">
        <f>+[5]cons!AB43</f>
        <v>0</v>
      </c>
      <c r="AD43" s="500">
        <f>+[5]cons!AC43</f>
        <v>0</v>
      </c>
    </row>
    <row r="44" spans="1:30" s="361" customFormat="1">
      <c r="A44" s="586" t="s">
        <v>1147</v>
      </c>
      <c r="B44" s="587">
        <f t="shared" si="6"/>
        <v>8736</v>
      </c>
      <c r="C44" s="1079">
        <f t="shared" si="7"/>
        <v>574</v>
      </c>
      <c r="D44" s="585">
        <f t="shared" si="7"/>
        <v>8162</v>
      </c>
      <c r="E44" s="377">
        <f>+[5]cons!D44</f>
        <v>23</v>
      </c>
      <c r="F44" s="500">
        <f>+[5]cons!E44</f>
        <v>593</v>
      </c>
      <c r="G44" s="377">
        <f>+[5]cons!F44</f>
        <v>47</v>
      </c>
      <c r="H44" s="500">
        <f>+[5]cons!G44</f>
        <v>681</v>
      </c>
      <c r="I44" s="377">
        <f>+[5]cons!H44</f>
        <v>35</v>
      </c>
      <c r="J44" s="500">
        <f>+[5]cons!I44</f>
        <v>517</v>
      </c>
      <c r="K44" s="377">
        <f>+[5]cons!J44</f>
        <v>111</v>
      </c>
      <c r="L44" s="500">
        <f>+[5]cons!K44</f>
        <v>412</v>
      </c>
      <c r="M44" s="377">
        <f>+[5]cons!L44</f>
        <v>0</v>
      </c>
      <c r="N44" s="500">
        <f>+[5]cons!M44</f>
        <v>522</v>
      </c>
      <c r="O44" s="377">
        <f>+[5]cons!N44</f>
        <v>9</v>
      </c>
      <c r="P44" s="500">
        <f>+[5]cons!O44</f>
        <v>205</v>
      </c>
      <c r="Q44" s="377">
        <f>+[5]cons!P44</f>
        <v>97</v>
      </c>
      <c r="R44" s="500">
        <f>+[5]cons!Q44</f>
        <v>842</v>
      </c>
      <c r="S44" s="377">
        <f>+[5]cons!R44</f>
        <v>49</v>
      </c>
      <c r="T44" s="500">
        <f>+[5]cons!S44</f>
        <v>1383</v>
      </c>
      <c r="U44" s="377">
        <f>+[5]cons!T44</f>
        <v>40</v>
      </c>
      <c r="V44" s="500">
        <f>+[5]cons!U44</f>
        <v>401</v>
      </c>
      <c r="W44" s="377">
        <f>+[5]cons!V44</f>
        <v>60</v>
      </c>
      <c r="X44" s="500">
        <f>+[5]cons!W44</f>
        <v>534</v>
      </c>
      <c r="Y44" s="377">
        <f>+[5]cons!X44</f>
        <v>12</v>
      </c>
      <c r="Z44" s="500">
        <f>+[5]cons!Y44</f>
        <v>540</v>
      </c>
      <c r="AA44" s="377">
        <f>+[5]cons!Z44</f>
        <v>57</v>
      </c>
      <c r="AB44" s="500">
        <f>+[5]cons!AA44</f>
        <v>1156</v>
      </c>
      <c r="AC44" s="377">
        <f>+[5]cons!AB44</f>
        <v>34</v>
      </c>
      <c r="AD44" s="500">
        <f>+[5]cons!AC44</f>
        <v>376</v>
      </c>
    </row>
    <row r="45" spans="1:30" s="361" customFormat="1">
      <c r="A45" s="586" t="s">
        <v>134</v>
      </c>
      <c r="B45" s="587">
        <f t="shared" si="6"/>
        <v>354</v>
      </c>
      <c r="C45" s="585">
        <f t="shared" si="7"/>
        <v>28</v>
      </c>
      <c r="D45" s="585">
        <f t="shared" si="7"/>
        <v>326</v>
      </c>
      <c r="E45" s="377">
        <f>+[5]cons!D45</f>
        <v>0</v>
      </c>
      <c r="F45" s="500">
        <f>+[5]cons!E45</f>
        <v>0</v>
      </c>
      <c r="G45" s="377">
        <f>+[5]cons!F45</f>
        <v>1</v>
      </c>
      <c r="H45" s="500">
        <f>+[5]cons!G45</f>
        <v>11</v>
      </c>
      <c r="I45" s="377">
        <f>+[5]cons!H45</f>
        <v>2</v>
      </c>
      <c r="J45" s="500">
        <f>+[5]cons!I45</f>
        <v>12</v>
      </c>
      <c r="K45" s="377">
        <f>+[5]cons!J45</f>
        <v>0</v>
      </c>
      <c r="L45" s="500">
        <f>+[5]cons!K45</f>
        <v>0</v>
      </c>
      <c r="M45" s="377">
        <f>+[5]cons!L45</f>
        <v>0</v>
      </c>
      <c r="N45" s="500">
        <f>+[5]cons!M45</f>
        <v>0</v>
      </c>
      <c r="O45" s="377">
        <f>+[5]cons!N45</f>
        <v>0</v>
      </c>
      <c r="P45" s="500">
        <f>+[5]cons!O45</f>
        <v>0</v>
      </c>
      <c r="Q45" s="377">
        <f>+[5]cons!P45</f>
        <v>0</v>
      </c>
      <c r="R45" s="500">
        <f>+[5]cons!Q45</f>
        <v>0</v>
      </c>
      <c r="S45" s="377">
        <f>+[5]cons!R45</f>
        <v>6</v>
      </c>
      <c r="T45" s="500">
        <f>+[5]cons!S45</f>
        <v>32</v>
      </c>
      <c r="U45" s="377">
        <f>+[5]cons!T45</f>
        <v>19</v>
      </c>
      <c r="V45" s="500">
        <f>+[5]cons!U45</f>
        <v>271</v>
      </c>
      <c r="W45" s="377">
        <f>+[5]cons!V45</f>
        <v>0</v>
      </c>
      <c r="X45" s="500">
        <f>+[5]cons!W45</f>
        <v>0</v>
      </c>
      <c r="Y45" s="377">
        <f>+[5]cons!X45</f>
        <v>0</v>
      </c>
      <c r="Z45" s="500">
        <f>+[5]cons!Y45</f>
        <v>0</v>
      </c>
      <c r="AA45" s="377">
        <f>+[5]cons!Z45</f>
        <v>0</v>
      </c>
      <c r="AB45" s="500">
        <f>+[5]cons!AA45</f>
        <v>0</v>
      </c>
      <c r="AC45" s="377">
        <f>+[5]cons!AB45</f>
        <v>0</v>
      </c>
      <c r="AD45" s="500">
        <f>+[5]cons!AC45</f>
        <v>0</v>
      </c>
    </row>
    <row r="46" spans="1:30" s="361" customFormat="1">
      <c r="A46" s="586" t="s">
        <v>1148</v>
      </c>
      <c r="B46" s="587">
        <f t="shared" si="6"/>
        <v>2758</v>
      </c>
      <c r="C46" s="585">
        <f t="shared" si="7"/>
        <v>604</v>
      </c>
      <c r="D46" s="585">
        <f t="shared" si="7"/>
        <v>2154</v>
      </c>
      <c r="E46" s="377">
        <f>+[5]cons!D46</f>
        <v>44</v>
      </c>
      <c r="F46" s="500">
        <f>+[5]cons!E46</f>
        <v>237</v>
      </c>
      <c r="G46" s="377">
        <f>+[5]cons!F46</f>
        <v>44</v>
      </c>
      <c r="H46" s="500">
        <f>+[5]cons!G46</f>
        <v>211</v>
      </c>
      <c r="I46" s="377">
        <f>+[5]cons!H46</f>
        <v>33</v>
      </c>
      <c r="J46" s="500">
        <f>+[5]cons!I46</f>
        <v>105</v>
      </c>
      <c r="K46" s="377">
        <f>+[5]cons!J46</f>
        <v>67</v>
      </c>
      <c r="L46" s="500">
        <f>+[5]cons!K46</f>
        <v>66</v>
      </c>
      <c r="M46" s="377">
        <f>+[5]cons!L46</f>
        <v>0</v>
      </c>
      <c r="N46" s="500">
        <f>+[5]cons!M46</f>
        <v>129</v>
      </c>
      <c r="O46" s="377">
        <f>+[5]cons!N46</f>
        <v>20</v>
      </c>
      <c r="P46" s="500">
        <f>+[5]cons!O46</f>
        <v>42</v>
      </c>
      <c r="Q46" s="377">
        <f>+[5]cons!P46</f>
        <v>86</v>
      </c>
      <c r="R46" s="500">
        <f>+[5]cons!Q46</f>
        <v>262</v>
      </c>
      <c r="S46" s="377">
        <f>+[5]cons!R46</f>
        <v>123</v>
      </c>
      <c r="T46" s="500">
        <f>+[5]cons!S46</f>
        <v>376</v>
      </c>
      <c r="U46" s="377">
        <f>+[5]cons!T46</f>
        <v>39</v>
      </c>
      <c r="V46" s="500">
        <f>+[5]cons!U46</f>
        <v>135</v>
      </c>
      <c r="W46" s="377">
        <f>+[5]cons!V46</f>
        <v>87</v>
      </c>
      <c r="X46" s="500">
        <f>+[5]cons!W46</f>
        <v>217</v>
      </c>
      <c r="Y46" s="377">
        <f>+[5]cons!X46</f>
        <v>13</v>
      </c>
      <c r="Z46" s="500">
        <f>+[5]cons!Y46</f>
        <v>67</v>
      </c>
      <c r="AA46" s="377">
        <f>+[5]cons!Z46</f>
        <v>25</v>
      </c>
      <c r="AB46" s="500">
        <f>+[5]cons!AA46</f>
        <v>183</v>
      </c>
      <c r="AC46" s="377">
        <f>+[5]cons!AB46</f>
        <v>23</v>
      </c>
      <c r="AD46" s="500">
        <f>+[5]cons!AC46</f>
        <v>124</v>
      </c>
    </row>
    <row r="47" spans="1:30" s="361" customFormat="1">
      <c r="A47" s="586" t="s">
        <v>1149</v>
      </c>
      <c r="B47" s="587">
        <f t="shared" si="6"/>
        <v>8</v>
      </c>
      <c r="C47" s="585">
        <f t="shared" si="7"/>
        <v>0</v>
      </c>
      <c r="D47" s="585">
        <f t="shared" si="7"/>
        <v>8</v>
      </c>
      <c r="E47" s="377">
        <f>+[5]cons!D47</f>
        <v>0</v>
      </c>
      <c r="F47" s="500">
        <f>+[5]cons!E47</f>
        <v>0</v>
      </c>
      <c r="G47" s="377">
        <f>+[5]cons!F47</f>
        <v>0</v>
      </c>
      <c r="H47" s="500">
        <f>+[5]cons!G47</f>
        <v>0</v>
      </c>
      <c r="I47" s="377">
        <f>+[5]cons!H47</f>
        <v>0</v>
      </c>
      <c r="J47" s="500">
        <f>+[5]cons!I47</f>
        <v>8</v>
      </c>
      <c r="K47" s="377">
        <f>+[5]cons!J47</f>
        <v>0</v>
      </c>
      <c r="L47" s="500">
        <f>+[5]cons!K47</f>
        <v>0</v>
      </c>
      <c r="M47" s="377">
        <f>+[5]cons!L47</f>
        <v>0</v>
      </c>
      <c r="N47" s="500">
        <f>+[5]cons!M47</f>
        <v>0</v>
      </c>
      <c r="O47" s="377">
        <f>+[5]cons!N47</f>
        <v>0</v>
      </c>
      <c r="P47" s="500">
        <f>+[5]cons!O47</f>
        <v>0</v>
      </c>
      <c r="Q47" s="377">
        <f>+[5]cons!P47</f>
        <v>0</v>
      </c>
      <c r="R47" s="500">
        <f>+[5]cons!Q47</f>
        <v>0</v>
      </c>
      <c r="S47" s="377">
        <f>+[5]cons!R47</f>
        <v>0</v>
      </c>
      <c r="T47" s="500">
        <f>+[5]cons!S47</f>
        <v>0</v>
      </c>
      <c r="U47" s="377">
        <f>+[5]cons!T47</f>
        <v>0</v>
      </c>
      <c r="V47" s="500">
        <f>+[5]cons!U47</f>
        <v>0</v>
      </c>
      <c r="W47" s="377">
        <f>+[5]cons!V47</f>
        <v>0</v>
      </c>
      <c r="X47" s="500">
        <f>+[5]cons!W47</f>
        <v>0</v>
      </c>
      <c r="Y47" s="377">
        <f>+[5]cons!X47</f>
        <v>0</v>
      </c>
      <c r="Z47" s="500">
        <f>+[5]cons!Y47</f>
        <v>0</v>
      </c>
      <c r="AA47" s="377">
        <f>+[5]cons!Z47</f>
        <v>0</v>
      </c>
      <c r="AB47" s="500">
        <f>+[5]cons!AA47</f>
        <v>0</v>
      </c>
      <c r="AC47" s="377">
        <f>+[5]cons!AB47</f>
        <v>0</v>
      </c>
      <c r="AD47" s="500">
        <f>+[5]cons!AC47</f>
        <v>0</v>
      </c>
    </row>
    <row r="48" spans="1:30" s="361" customFormat="1">
      <c r="A48" s="586" t="s">
        <v>1150</v>
      </c>
      <c r="B48" s="587">
        <f t="shared" si="6"/>
        <v>2740</v>
      </c>
      <c r="C48" s="585">
        <f t="shared" si="7"/>
        <v>514</v>
      </c>
      <c r="D48" s="585">
        <f t="shared" si="7"/>
        <v>2226</v>
      </c>
      <c r="E48" s="377">
        <f>+[5]cons!D48</f>
        <v>27</v>
      </c>
      <c r="F48" s="500">
        <f>+[5]cons!E48</f>
        <v>249</v>
      </c>
      <c r="G48" s="377">
        <f>+[5]cons!F48</f>
        <v>35</v>
      </c>
      <c r="H48" s="500">
        <f>+[5]cons!G48</f>
        <v>202</v>
      </c>
      <c r="I48" s="377">
        <f>+[5]cons!H48</f>
        <v>20</v>
      </c>
      <c r="J48" s="500">
        <f>+[5]cons!I48</f>
        <v>102</v>
      </c>
      <c r="K48" s="377">
        <f>+[5]cons!J48</f>
        <v>20</v>
      </c>
      <c r="L48" s="500">
        <f>+[5]cons!K48</f>
        <v>101</v>
      </c>
      <c r="M48" s="377">
        <f>+[5]cons!L48</f>
        <v>0</v>
      </c>
      <c r="N48" s="500">
        <f>+[5]cons!M48</f>
        <v>80</v>
      </c>
      <c r="O48" s="377">
        <f>+[5]cons!N48</f>
        <v>7</v>
      </c>
      <c r="P48" s="500">
        <f>+[5]cons!O48</f>
        <v>61</v>
      </c>
      <c r="Q48" s="377">
        <f>+[5]cons!P48</f>
        <v>67</v>
      </c>
      <c r="R48" s="500">
        <f>+[5]cons!Q48</f>
        <v>239</v>
      </c>
      <c r="S48" s="377">
        <f>+[5]cons!R48</f>
        <v>93</v>
      </c>
      <c r="T48" s="500">
        <f>+[5]cons!S48</f>
        <v>405</v>
      </c>
      <c r="U48" s="377">
        <f>+[5]cons!T48</f>
        <v>45</v>
      </c>
      <c r="V48" s="500">
        <f>+[5]cons!U48</f>
        <v>182</v>
      </c>
      <c r="W48" s="377">
        <f>+[5]cons!V48</f>
        <v>100</v>
      </c>
      <c r="X48" s="500">
        <f>+[5]cons!W48</f>
        <v>260</v>
      </c>
      <c r="Y48" s="377">
        <f>+[5]cons!X48</f>
        <v>24</v>
      </c>
      <c r="Z48" s="500">
        <f>+[5]cons!Y48</f>
        <v>67</v>
      </c>
      <c r="AA48" s="377">
        <f>+[5]cons!Z48</f>
        <v>49</v>
      </c>
      <c r="AB48" s="500">
        <f>+[5]cons!AA48</f>
        <v>128</v>
      </c>
      <c r="AC48" s="377">
        <f>+[5]cons!AB48</f>
        <v>27</v>
      </c>
      <c r="AD48" s="500">
        <f>+[5]cons!AC48</f>
        <v>150</v>
      </c>
    </row>
    <row r="49" spans="1:30" s="361" customFormat="1">
      <c r="A49" s="586" t="s">
        <v>1151</v>
      </c>
      <c r="B49" s="587">
        <f t="shared" ref="B49:B50" si="8">SUM(C49:D49)</f>
        <v>1302</v>
      </c>
      <c r="C49" s="585">
        <f t="shared" ref="C49:C50" si="9">+E49+G49+I49+K49+M49+O49+Q49+S49+U49+W49+Y49+AA49+AC49</f>
        <v>23</v>
      </c>
      <c r="D49" s="585">
        <f t="shared" ref="D49:D50" si="10">+F49+H49+J49+L49+N49+P49+R49+T49+V49+X49+Z49+AB49+AD49</f>
        <v>1279</v>
      </c>
      <c r="E49" s="377">
        <f>+[5]cons!D49</f>
        <v>4</v>
      </c>
      <c r="F49" s="500">
        <f>+[5]cons!E49</f>
        <v>106</v>
      </c>
      <c r="G49" s="377">
        <f>+[5]cons!F49</f>
        <v>0</v>
      </c>
      <c r="H49" s="500">
        <f>+[5]cons!G49</f>
        <v>129</v>
      </c>
      <c r="I49" s="377">
        <f>+[5]cons!H49</f>
        <v>2</v>
      </c>
      <c r="J49" s="500">
        <f>+[5]cons!I49</f>
        <v>76</v>
      </c>
      <c r="K49" s="377">
        <f>+[5]cons!J49</f>
        <v>4</v>
      </c>
      <c r="L49" s="500">
        <f>+[5]cons!K49</f>
        <v>39</v>
      </c>
      <c r="M49" s="377">
        <f>+[5]cons!L49</f>
        <v>0</v>
      </c>
      <c r="N49" s="500">
        <f>+[5]cons!M49</f>
        <v>57</v>
      </c>
      <c r="O49" s="377">
        <f>+[5]cons!N49</f>
        <v>0</v>
      </c>
      <c r="P49" s="500">
        <f>+[5]cons!O49</f>
        <v>17</v>
      </c>
      <c r="Q49" s="377">
        <f>+[5]cons!P49</f>
        <v>4</v>
      </c>
      <c r="R49" s="500">
        <f>+[5]cons!Q49</f>
        <v>158</v>
      </c>
      <c r="S49" s="377">
        <f>+[5]cons!R49</f>
        <v>2</v>
      </c>
      <c r="T49" s="500">
        <f>+[5]cons!S49</f>
        <v>224</v>
      </c>
      <c r="U49" s="377">
        <f>+[5]cons!T49</f>
        <v>1</v>
      </c>
      <c r="V49" s="500">
        <f>+[5]cons!U49</f>
        <v>86</v>
      </c>
      <c r="W49" s="377">
        <f>+[5]cons!V49</f>
        <v>4</v>
      </c>
      <c r="X49" s="500">
        <f>+[5]cons!W49</f>
        <v>155</v>
      </c>
      <c r="Y49" s="377">
        <f>+[5]cons!X49</f>
        <v>0</v>
      </c>
      <c r="Z49" s="500">
        <f>+[5]cons!Y49</f>
        <v>38</v>
      </c>
      <c r="AA49" s="377">
        <f>+[5]cons!Z49</f>
        <v>0</v>
      </c>
      <c r="AB49" s="500">
        <f>+[5]cons!AA49</f>
        <v>104</v>
      </c>
      <c r="AC49" s="377">
        <f>+[5]cons!AB49</f>
        <v>2</v>
      </c>
      <c r="AD49" s="500">
        <f>+[5]cons!AC49</f>
        <v>90</v>
      </c>
    </row>
    <row r="50" spans="1:30" s="361" customFormat="1">
      <c r="A50" s="589" t="s">
        <v>1152</v>
      </c>
      <c r="B50" s="587">
        <f t="shared" si="8"/>
        <v>0</v>
      </c>
      <c r="C50" s="585">
        <f t="shared" si="9"/>
        <v>0</v>
      </c>
      <c r="D50" s="585">
        <f t="shared" si="10"/>
        <v>0</v>
      </c>
      <c r="E50" s="377">
        <f>+[5]cons!D50</f>
        <v>0</v>
      </c>
      <c r="F50" s="500">
        <f>+[5]cons!E50</f>
        <v>0</v>
      </c>
      <c r="G50" s="377">
        <f>+[5]cons!F50</f>
        <v>0</v>
      </c>
      <c r="H50" s="500">
        <f>+[5]cons!G50</f>
        <v>0</v>
      </c>
      <c r="I50" s="377">
        <f>+[5]cons!H50</f>
        <v>0</v>
      </c>
      <c r="J50" s="500">
        <f>+[5]cons!I50</f>
        <v>0</v>
      </c>
      <c r="K50" s="377">
        <f>+[5]cons!J50</f>
        <v>0</v>
      </c>
      <c r="L50" s="500">
        <f>+[5]cons!K50</f>
        <v>0</v>
      </c>
      <c r="M50" s="377">
        <f>+[5]cons!L50</f>
        <v>0</v>
      </c>
      <c r="N50" s="500">
        <f>+[5]cons!M50</f>
        <v>0</v>
      </c>
      <c r="O50" s="377">
        <f>+[5]cons!N50</f>
        <v>0</v>
      </c>
      <c r="P50" s="500">
        <f>+[5]cons!O50</f>
        <v>0</v>
      </c>
      <c r="Q50" s="377">
        <f>+[5]cons!P50</f>
        <v>0</v>
      </c>
      <c r="R50" s="500">
        <f>+[5]cons!Q50</f>
        <v>0</v>
      </c>
      <c r="S50" s="377">
        <f>+[5]cons!R50</f>
        <v>0</v>
      </c>
      <c r="T50" s="500">
        <f>+[5]cons!S50</f>
        <v>0</v>
      </c>
      <c r="U50" s="377">
        <f>+[5]cons!T50</f>
        <v>0</v>
      </c>
      <c r="V50" s="500">
        <f>+[5]cons!U50</f>
        <v>0</v>
      </c>
      <c r="W50" s="377">
        <f>+[5]cons!V50</f>
        <v>0</v>
      </c>
      <c r="X50" s="500">
        <f>+[5]cons!W50</f>
        <v>0</v>
      </c>
      <c r="Y50" s="377">
        <f>+[5]cons!X50</f>
        <v>0</v>
      </c>
      <c r="Z50" s="500">
        <f>+[5]cons!Y50</f>
        <v>0</v>
      </c>
      <c r="AA50" s="377">
        <f>+[5]cons!Z50</f>
        <v>0</v>
      </c>
      <c r="AB50" s="500">
        <f>+[5]cons!AA50</f>
        <v>0</v>
      </c>
      <c r="AC50" s="377">
        <f>+[5]cons!AB50</f>
        <v>0</v>
      </c>
      <c r="AD50" s="500">
        <f>+[5]cons!AC50</f>
        <v>0</v>
      </c>
    </row>
    <row r="51" spans="1:30">
      <c r="A51" s="590" t="s">
        <v>571</v>
      </c>
      <c r="B51" s="591">
        <f t="shared" ref="B51:AB51" si="11">SUM(B5:B50)</f>
        <v>38035</v>
      </c>
      <c r="C51" s="382">
        <f t="shared" si="11"/>
        <v>5070</v>
      </c>
      <c r="D51" s="382">
        <f t="shared" si="11"/>
        <v>32965</v>
      </c>
      <c r="E51" s="381">
        <f t="shared" si="11"/>
        <v>368</v>
      </c>
      <c r="F51" s="543">
        <f t="shared" si="11"/>
        <v>3069</v>
      </c>
      <c r="G51" s="381">
        <f t="shared" si="11"/>
        <v>431</v>
      </c>
      <c r="H51" s="543">
        <f t="shared" si="11"/>
        <v>2864</v>
      </c>
      <c r="I51" s="381">
        <f t="shared" si="11"/>
        <v>292</v>
      </c>
      <c r="J51" s="543">
        <f t="shared" si="11"/>
        <v>1930</v>
      </c>
      <c r="K51" s="381">
        <f t="shared" si="11"/>
        <v>406</v>
      </c>
      <c r="L51" s="543">
        <f t="shared" si="11"/>
        <v>1443</v>
      </c>
      <c r="M51" s="381">
        <f t="shared" si="11"/>
        <v>127</v>
      </c>
      <c r="N51" s="543">
        <f t="shared" si="11"/>
        <v>1754</v>
      </c>
      <c r="O51" s="381">
        <f t="shared" si="11"/>
        <v>109</v>
      </c>
      <c r="P51" s="543">
        <f t="shared" si="11"/>
        <v>815</v>
      </c>
      <c r="Q51" s="381">
        <f t="shared" si="11"/>
        <v>706</v>
      </c>
      <c r="R51" s="543">
        <f t="shared" si="11"/>
        <v>3909</v>
      </c>
      <c r="S51" s="381">
        <f t="shared" si="11"/>
        <v>892</v>
      </c>
      <c r="T51" s="543">
        <f t="shared" si="11"/>
        <v>5846</v>
      </c>
      <c r="U51" s="381">
        <f t="shared" si="11"/>
        <v>294</v>
      </c>
      <c r="V51" s="543">
        <f t="shared" si="11"/>
        <v>1975</v>
      </c>
      <c r="W51" s="381">
        <f t="shared" si="11"/>
        <v>668</v>
      </c>
      <c r="X51" s="543">
        <f t="shared" si="11"/>
        <v>3247</v>
      </c>
      <c r="Y51" s="381">
        <f t="shared" si="11"/>
        <v>142</v>
      </c>
      <c r="Z51" s="543">
        <f t="shared" si="11"/>
        <v>1223</v>
      </c>
      <c r="AA51" s="381">
        <f t="shared" si="11"/>
        <v>332</v>
      </c>
      <c r="AB51" s="543">
        <f t="shared" si="11"/>
        <v>2865</v>
      </c>
      <c r="AC51" s="381">
        <f>SUM(AC5:AC50)</f>
        <v>303</v>
      </c>
      <c r="AD51" s="543">
        <f>SUM(AD5:AD50)</f>
        <v>2025</v>
      </c>
    </row>
    <row r="53" spans="1:30">
      <c r="A53" s="1139" t="s">
        <v>1376</v>
      </c>
    </row>
    <row r="54" spans="1:30">
      <c r="A54" s="1134" t="s">
        <v>1368</v>
      </c>
      <c r="B54" s="584">
        <f>SUM(F54:AD54)</f>
        <v>1183.0999999999999</v>
      </c>
      <c r="C54" s="183"/>
      <c r="D54" s="247"/>
      <c r="E54" s="1171"/>
      <c r="F54" s="1172">
        <f>+[5]cons!E53</f>
        <v>61</v>
      </c>
      <c r="G54" s="1171"/>
      <c r="H54" s="1172">
        <f>+[5]cons!G53</f>
        <v>77.099999999999994</v>
      </c>
      <c r="I54" s="1171"/>
      <c r="J54" s="1172">
        <f>+[5]cons!I53</f>
        <v>68</v>
      </c>
      <c r="K54" s="1171"/>
      <c r="L54" s="1172">
        <f>+[5]cons!K53</f>
        <v>136</v>
      </c>
      <c r="M54" s="1171"/>
      <c r="N54" s="1172">
        <f>+[5]cons!M53</f>
        <v>118</v>
      </c>
      <c r="O54" s="1171"/>
      <c r="P54" s="1172">
        <f>+[5]cons!O53</f>
        <v>43</v>
      </c>
      <c r="Q54" s="1171"/>
      <c r="R54" s="1172">
        <f>+[5]cons!Q53</f>
        <v>96</v>
      </c>
      <c r="S54" s="1171"/>
      <c r="T54" s="1172">
        <f>+[5]cons!S53</f>
        <v>184</v>
      </c>
      <c r="U54" s="1171"/>
      <c r="V54" s="1172">
        <f>+[5]cons!U53</f>
        <v>48</v>
      </c>
      <c r="W54" s="1171"/>
      <c r="X54" s="1172">
        <f>+[5]cons!W53</f>
        <v>153</v>
      </c>
      <c r="Y54" s="1171"/>
      <c r="Z54" s="1172">
        <f>+[5]cons!Y53</f>
        <v>17</v>
      </c>
      <c r="AA54" s="1171"/>
      <c r="AB54" s="1172">
        <f>+[5]cons!AA53</f>
        <v>82</v>
      </c>
      <c r="AC54" s="1171"/>
      <c r="AD54" s="1172">
        <f>+[5]cons!AC53</f>
        <v>100</v>
      </c>
    </row>
    <row r="55" spans="1:30">
      <c r="A55" s="1135" t="s">
        <v>1369</v>
      </c>
      <c r="B55" s="587">
        <f t="shared" ref="B55:B64" si="12">SUM(F55:AD55)</f>
        <v>1690</v>
      </c>
      <c r="C55" s="331"/>
      <c r="D55" s="154"/>
      <c r="E55" s="1173"/>
      <c r="F55" s="1174">
        <f>+[5]cons!E54</f>
        <v>165</v>
      </c>
      <c r="G55" s="1173"/>
      <c r="H55" s="1174">
        <f>+[5]cons!G54</f>
        <v>278</v>
      </c>
      <c r="I55" s="1173"/>
      <c r="J55" s="1174">
        <f>+[5]cons!I54</f>
        <v>74</v>
      </c>
      <c r="K55" s="1173"/>
      <c r="L55" s="1174">
        <f>+[5]cons!K54</f>
        <v>68</v>
      </c>
      <c r="M55" s="1173"/>
      <c r="N55" s="1174">
        <f>+[5]cons!M54</f>
        <v>131</v>
      </c>
      <c r="O55" s="1173"/>
      <c r="P55" s="1174">
        <f>+[5]cons!O54</f>
        <v>52</v>
      </c>
      <c r="Q55" s="1173"/>
      <c r="R55" s="1174">
        <f>+[5]cons!Q54</f>
        <v>254</v>
      </c>
      <c r="S55" s="1173"/>
      <c r="T55" s="1174">
        <f>+[5]cons!S54</f>
        <v>229</v>
      </c>
      <c r="U55" s="1173"/>
      <c r="V55" s="1174">
        <f>+[5]cons!U54</f>
        <v>108</v>
      </c>
      <c r="W55" s="1173"/>
      <c r="X55" s="1174">
        <f>+[5]cons!W54</f>
        <v>140</v>
      </c>
      <c r="Y55" s="1173"/>
      <c r="Z55" s="1174">
        <f>+[5]cons!Y54</f>
        <v>1</v>
      </c>
      <c r="AA55" s="1173"/>
      <c r="AB55" s="1174">
        <f>+[5]cons!AA54</f>
        <v>96</v>
      </c>
      <c r="AC55" s="1173"/>
      <c r="AD55" s="1174">
        <f>+[5]cons!AC54</f>
        <v>94</v>
      </c>
    </row>
    <row r="56" spans="1:30">
      <c r="A56" s="1135" t="s">
        <v>1370</v>
      </c>
      <c r="B56" s="587">
        <f t="shared" si="12"/>
        <v>20</v>
      </c>
      <c r="C56" s="331"/>
      <c r="D56" s="154"/>
      <c r="E56" s="1173"/>
      <c r="F56" s="1174">
        <f>+[5]cons!E55</f>
        <v>0</v>
      </c>
      <c r="G56" s="1173"/>
      <c r="H56" s="1174">
        <f>+[5]cons!G55</f>
        <v>0</v>
      </c>
      <c r="I56" s="1173"/>
      <c r="J56" s="1174">
        <f>+[5]cons!I55</f>
        <v>0</v>
      </c>
      <c r="K56" s="1173"/>
      <c r="L56" s="1174">
        <f>+[5]cons!K55</f>
        <v>0</v>
      </c>
      <c r="M56" s="1173"/>
      <c r="N56" s="1174">
        <f>+[5]cons!M55</f>
        <v>0</v>
      </c>
      <c r="O56" s="1173"/>
      <c r="P56" s="1174">
        <f>+[5]cons!O55</f>
        <v>8</v>
      </c>
      <c r="Q56" s="1173"/>
      <c r="R56" s="1174">
        <f>+[5]cons!Q55</f>
        <v>0</v>
      </c>
      <c r="S56" s="1173"/>
      <c r="T56" s="1174">
        <f>+[5]cons!S55</f>
        <v>12</v>
      </c>
      <c r="U56" s="1173"/>
      <c r="V56" s="1174">
        <f>+[5]cons!U55</f>
        <v>0</v>
      </c>
      <c r="W56" s="1173"/>
      <c r="X56" s="1174">
        <f>+[5]cons!W55</f>
        <v>0</v>
      </c>
      <c r="Y56" s="1173"/>
      <c r="Z56" s="1174">
        <f>+[5]cons!Y55</f>
        <v>0</v>
      </c>
      <c r="AA56" s="1173"/>
      <c r="AB56" s="1174">
        <f>+[5]cons!AA55</f>
        <v>0</v>
      </c>
      <c r="AC56" s="1173"/>
      <c r="AD56" s="1174">
        <f>+[5]cons!AC55</f>
        <v>0</v>
      </c>
    </row>
    <row r="57" spans="1:30" ht="21">
      <c r="A57" s="1135" t="s">
        <v>1371</v>
      </c>
      <c r="B57" s="587">
        <f t="shared" si="12"/>
        <v>1294</v>
      </c>
      <c r="C57" s="331"/>
      <c r="D57" s="154"/>
      <c r="E57" s="1173"/>
      <c r="F57" s="1174">
        <f>+[5]cons!E56</f>
        <v>174</v>
      </c>
      <c r="G57" s="1173"/>
      <c r="H57" s="1174">
        <f>+[5]cons!G56</f>
        <v>166</v>
      </c>
      <c r="I57" s="1173"/>
      <c r="J57" s="1174">
        <f>+[5]cons!I56</f>
        <v>64</v>
      </c>
      <c r="K57" s="1173"/>
      <c r="L57" s="1174">
        <f>+[5]cons!K56</f>
        <v>86</v>
      </c>
      <c r="M57" s="1173"/>
      <c r="N57" s="1174">
        <f>+[5]cons!M56</f>
        <v>6</v>
      </c>
      <c r="O57" s="1173"/>
      <c r="P57" s="1174">
        <f>+[5]cons!O56</f>
        <v>9</v>
      </c>
      <c r="Q57" s="1173"/>
      <c r="R57" s="1174">
        <f>+[5]cons!Q56</f>
        <v>222</v>
      </c>
      <c r="S57" s="1173"/>
      <c r="T57" s="1174">
        <f>+[5]cons!S56</f>
        <v>243</v>
      </c>
      <c r="U57" s="1173"/>
      <c r="V57" s="1174">
        <f>+[5]cons!U56</f>
        <v>37</v>
      </c>
      <c r="W57" s="1173"/>
      <c r="X57" s="1174">
        <f>+[5]cons!W56</f>
        <v>103</v>
      </c>
      <c r="Y57" s="1173"/>
      <c r="Z57" s="1174">
        <f>+[5]cons!Y56</f>
        <v>39</v>
      </c>
      <c r="AA57" s="1173"/>
      <c r="AB57" s="1174">
        <f>+[5]cons!AA56</f>
        <v>46</v>
      </c>
      <c r="AC57" s="1173"/>
      <c r="AD57" s="1174">
        <f>+[5]cons!AC56</f>
        <v>99</v>
      </c>
    </row>
    <row r="58" spans="1:30">
      <c r="A58" s="1135" t="s">
        <v>1372</v>
      </c>
      <c r="B58" s="587">
        <f t="shared" si="12"/>
        <v>244</v>
      </c>
      <c r="C58" s="331"/>
      <c r="D58" s="154"/>
      <c r="E58" s="1173"/>
      <c r="F58" s="1174">
        <f>+[5]cons!E57</f>
        <v>28</v>
      </c>
      <c r="G58" s="1173"/>
      <c r="H58" s="1174">
        <f>+[5]cons!G57</f>
        <v>22</v>
      </c>
      <c r="I58" s="1173"/>
      <c r="J58" s="1174">
        <f>+[5]cons!I57</f>
        <v>25</v>
      </c>
      <c r="K58" s="1173"/>
      <c r="L58" s="1174">
        <f>+[5]cons!K57</f>
        <v>29</v>
      </c>
      <c r="M58" s="1173"/>
      <c r="N58" s="1174">
        <f>+[5]cons!M57</f>
        <v>20</v>
      </c>
      <c r="O58" s="1173"/>
      <c r="P58" s="1174">
        <f>+[5]cons!O57</f>
        <v>1</v>
      </c>
      <c r="Q58" s="1173"/>
      <c r="R58" s="1174">
        <f>+[5]cons!Q57</f>
        <v>36</v>
      </c>
      <c r="S58" s="1173"/>
      <c r="T58" s="1174">
        <f>+[5]cons!S57</f>
        <v>23</v>
      </c>
      <c r="U58" s="1173"/>
      <c r="V58" s="1174">
        <f>+[5]cons!U57</f>
        <v>11</v>
      </c>
      <c r="W58" s="1173"/>
      <c r="X58" s="1174">
        <f>+[5]cons!W57</f>
        <v>12</v>
      </c>
      <c r="Y58" s="1173"/>
      <c r="Z58" s="1174">
        <f>+[5]cons!Y57</f>
        <v>14</v>
      </c>
      <c r="AA58" s="1173"/>
      <c r="AB58" s="1174">
        <f>+[5]cons!AA57</f>
        <v>19</v>
      </c>
      <c r="AC58" s="1173"/>
      <c r="AD58" s="1174">
        <f>+[5]cons!AC57</f>
        <v>4</v>
      </c>
    </row>
    <row r="59" spans="1:30">
      <c r="A59" s="1135" t="s">
        <v>1373</v>
      </c>
      <c r="B59" s="587">
        <f t="shared" si="12"/>
        <v>599</v>
      </c>
      <c r="C59" s="331"/>
      <c r="D59" s="154"/>
      <c r="E59" s="1173"/>
      <c r="F59" s="1174">
        <f>+[5]cons!E58</f>
        <v>35</v>
      </c>
      <c r="G59" s="1173"/>
      <c r="H59" s="1174">
        <f>+[5]cons!G58</f>
        <v>56</v>
      </c>
      <c r="I59" s="1173"/>
      <c r="J59" s="1174">
        <f>+[5]cons!I58</f>
        <v>35</v>
      </c>
      <c r="K59" s="1173"/>
      <c r="L59" s="1174">
        <f>+[5]cons!K58</f>
        <v>41</v>
      </c>
      <c r="M59" s="1173"/>
      <c r="N59" s="1174">
        <f>+[5]cons!M58</f>
        <v>9</v>
      </c>
      <c r="O59" s="1173"/>
      <c r="P59" s="1174">
        <f>+[5]cons!O58</f>
        <v>13</v>
      </c>
      <c r="Q59" s="1173"/>
      <c r="R59" s="1174">
        <f>+[5]cons!Q58</f>
        <v>128</v>
      </c>
      <c r="S59" s="1173"/>
      <c r="T59" s="1174">
        <f>+[5]cons!S58</f>
        <v>157</v>
      </c>
      <c r="U59" s="1173"/>
      <c r="V59" s="1174">
        <f>+[5]cons!U58</f>
        <v>27</v>
      </c>
      <c r="W59" s="1173"/>
      <c r="X59" s="1174">
        <f>+[5]cons!W58</f>
        <v>50</v>
      </c>
      <c r="Y59" s="1173"/>
      <c r="Z59" s="1174">
        <f>+[5]cons!Y58</f>
        <v>7</v>
      </c>
      <c r="AA59" s="1173"/>
      <c r="AB59" s="1174">
        <f>+[5]cons!AA58</f>
        <v>24</v>
      </c>
      <c r="AC59" s="1173"/>
      <c r="AD59" s="1174">
        <f>+[5]cons!AC58</f>
        <v>17</v>
      </c>
    </row>
    <row r="60" spans="1:30">
      <c r="A60" s="1136" t="s">
        <v>1374</v>
      </c>
      <c r="B60" s="587">
        <f t="shared" si="12"/>
        <v>601</v>
      </c>
      <c r="C60" s="331"/>
      <c r="D60" s="154"/>
      <c r="E60" s="1173"/>
      <c r="F60" s="1174">
        <f>+[5]cons!E59</f>
        <v>64</v>
      </c>
      <c r="G60" s="1173"/>
      <c r="H60" s="1174">
        <f>+[5]cons!G59</f>
        <v>47</v>
      </c>
      <c r="I60" s="1173"/>
      <c r="J60" s="1174">
        <f>+[5]cons!I59</f>
        <v>38</v>
      </c>
      <c r="K60" s="1173"/>
      <c r="L60" s="1174">
        <f>+[5]cons!K59</f>
        <v>43</v>
      </c>
      <c r="M60" s="1173"/>
      <c r="N60" s="1174">
        <f>+[5]cons!M59</f>
        <v>38</v>
      </c>
      <c r="O60" s="1173"/>
      <c r="P60" s="1174">
        <f>+[5]cons!O59</f>
        <v>1</v>
      </c>
      <c r="Q60" s="1173"/>
      <c r="R60" s="1174">
        <f>+[5]cons!Q59</f>
        <v>93</v>
      </c>
      <c r="S60" s="1173"/>
      <c r="T60" s="1174">
        <f>+[5]cons!S59</f>
        <v>105</v>
      </c>
      <c r="U60" s="1173"/>
      <c r="V60" s="1174">
        <f>+[5]cons!U59</f>
        <v>12</v>
      </c>
      <c r="W60" s="1173"/>
      <c r="X60" s="1174">
        <f>+[5]cons!W59</f>
        <v>84</v>
      </c>
      <c r="Y60" s="1173"/>
      <c r="Z60" s="1174">
        <f>+[5]cons!Y59</f>
        <v>9</v>
      </c>
      <c r="AA60" s="1173"/>
      <c r="AB60" s="1174">
        <f>+[5]cons!AA59</f>
        <v>47</v>
      </c>
      <c r="AC60" s="1173"/>
      <c r="AD60" s="1174">
        <f>+[5]cons!AC59</f>
        <v>20</v>
      </c>
    </row>
    <row r="61" spans="1:30" ht="21">
      <c r="A61" s="1135" t="s">
        <v>1443</v>
      </c>
      <c r="B61" s="587">
        <f t="shared" si="12"/>
        <v>132</v>
      </c>
      <c r="C61" s="331"/>
      <c r="D61" s="154"/>
      <c r="E61" s="1173"/>
      <c r="F61" s="1174">
        <f>+[5]cons!E60</f>
        <v>0</v>
      </c>
      <c r="G61" s="1173"/>
      <c r="H61" s="1174">
        <f>+[5]cons!G60</f>
        <v>14</v>
      </c>
      <c r="I61" s="1173"/>
      <c r="J61" s="1174">
        <f>+[5]cons!I60</f>
        <v>0</v>
      </c>
      <c r="K61" s="1173"/>
      <c r="L61" s="1174">
        <f>+[5]cons!K60</f>
        <v>0</v>
      </c>
      <c r="M61" s="1173"/>
      <c r="N61" s="1174">
        <f>+[5]cons!M60</f>
        <v>2</v>
      </c>
      <c r="O61" s="1173"/>
      <c r="P61" s="1174">
        <f>+[5]cons!O60</f>
        <v>5</v>
      </c>
      <c r="Q61" s="1173"/>
      <c r="R61" s="1174">
        <f>+[5]cons!Q60</f>
        <v>0</v>
      </c>
      <c r="S61" s="1173"/>
      <c r="T61" s="1174">
        <f>+[5]cons!S60</f>
        <v>53</v>
      </c>
      <c r="U61" s="1173"/>
      <c r="V61" s="1174">
        <f>+[5]cons!U60</f>
        <v>39</v>
      </c>
      <c r="W61" s="1173"/>
      <c r="X61" s="1174">
        <f>+[5]cons!W60</f>
        <v>0</v>
      </c>
      <c r="Y61" s="1173"/>
      <c r="Z61" s="1174">
        <f>+[5]cons!Y60</f>
        <v>0</v>
      </c>
      <c r="AA61" s="1173"/>
      <c r="AB61" s="1174">
        <f>+[5]cons!AA60</f>
        <v>0</v>
      </c>
      <c r="AC61" s="1173"/>
      <c r="AD61" s="1174">
        <f>+[5]cons!AC60</f>
        <v>19</v>
      </c>
    </row>
    <row r="62" spans="1:30">
      <c r="A62" s="1136" t="s">
        <v>1444</v>
      </c>
      <c r="B62" s="587">
        <f t="shared" si="12"/>
        <v>4</v>
      </c>
      <c r="C62" s="331"/>
      <c r="D62" s="154"/>
      <c r="E62" s="1173"/>
      <c r="F62" s="1174">
        <f>+[5]cons!E61</f>
        <v>0</v>
      </c>
      <c r="G62" s="1173"/>
      <c r="H62" s="1174">
        <f>+[5]cons!G61</f>
        <v>4</v>
      </c>
      <c r="I62" s="1173"/>
      <c r="J62" s="1174">
        <f>+[5]cons!I61</f>
        <v>0</v>
      </c>
      <c r="K62" s="1173"/>
      <c r="L62" s="1174">
        <f>+[5]cons!K61</f>
        <v>0</v>
      </c>
      <c r="M62" s="1173"/>
      <c r="N62" s="1174">
        <f>+[5]cons!M61</f>
        <v>0</v>
      </c>
      <c r="O62" s="1173"/>
      <c r="P62" s="1174">
        <f>+[5]cons!O61</f>
        <v>0</v>
      </c>
      <c r="Q62" s="1173"/>
      <c r="R62" s="1174">
        <f>+[5]cons!Q61</f>
        <v>0</v>
      </c>
      <c r="S62" s="1173"/>
      <c r="T62" s="1174">
        <f>+[5]cons!S61</f>
        <v>0</v>
      </c>
      <c r="U62" s="1173"/>
      <c r="V62" s="1174">
        <f>+[5]cons!U61</f>
        <v>0</v>
      </c>
      <c r="W62" s="1173"/>
      <c r="X62" s="1174">
        <f>+[5]cons!W61</f>
        <v>0</v>
      </c>
      <c r="Y62" s="1173"/>
      <c r="Z62" s="1174">
        <f>+[5]cons!Y61</f>
        <v>0</v>
      </c>
      <c r="AA62" s="1173"/>
      <c r="AB62" s="1174">
        <f>+[5]cons!AA61</f>
        <v>0</v>
      </c>
      <c r="AC62" s="1173"/>
      <c r="AD62" s="1174">
        <f>+[5]cons!AC61</f>
        <v>0</v>
      </c>
    </row>
    <row r="63" spans="1:30" ht="21">
      <c r="A63" s="1136" t="s">
        <v>1445</v>
      </c>
      <c r="B63" s="587">
        <f t="shared" si="12"/>
        <v>9</v>
      </c>
      <c r="C63" s="331"/>
      <c r="D63" s="154"/>
      <c r="E63" s="1173"/>
      <c r="F63" s="1174">
        <f>+[5]cons!E62</f>
        <v>0</v>
      </c>
      <c r="G63" s="1173"/>
      <c r="H63" s="1174">
        <f>+[5]cons!G62</f>
        <v>6</v>
      </c>
      <c r="I63" s="1173"/>
      <c r="J63" s="1174">
        <f>+[5]cons!I62</f>
        <v>0</v>
      </c>
      <c r="K63" s="1173"/>
      <c r="L63" s="1174">
        <f>+[5]cons!K62</f>
        <v>0</v>
      </c>
      <c r="M63" s="1173"/>
      <c r="N63" s="1174">
        <f>+[5]cons!M62</f>
        <v>0</v>
      </c>
      <c r="O63" s="1173"/>
      <c r="P63" s="1174">
        <f>+[5]cons!O62</f>
        <v>0</v>
      </c>
      <c r="Q63" s="1173"/>
      <c r="R63" s="1174">
        <f>+[5]cons!Q62</f>
        <v>0</v>
      </c>
      <c r="S63" s="1173"/>
      <c r="T63" s="1174">
        <f>+[5]cons!S62</f>
        <v>3</v>
      </c>
      <c r="U63" s="1173"/>
      <c r="V63" s="1174">
        <f>+[5]cons!U62</f>
        <v>0</v>
      </c>
      <c r="W63" s="1173"/>
      <c r="X63" s="1174">
        <f>+[5]cons!W62</f>
        <v>0</v>
      </c>
      <c r="Y63" s="1173"/>
      <c r="Z63" s="1174">
        <f>+[5]cons!Y62</f>
        <v>0</v>
      </c>
      <c r="AA63" s="1173"/>
      <c r="AB63" s="1174">
        <f>+[5]cons!AA62</f>
        <v>0</v>
      </c>
      <c r="AC63" s="1173"/>
      <c r="AD63" s="1174">
        <f>+[5]cons!AC62</f>
        <v>0</v>
      </c>
    </row>
    <row r="64" spans="1:30" ht="21">
      <c r="A64" s="1137" t="s">
        <v>1375</v>
      </c>
      <c r="B64" s="587">
        <f t="shared" si="12"/>
        <v>7</v>
      </c>
      <c r="C64" s="331"/>
      <c r="D64" s="154"/>
      <c r="E64" s="1173"/>
      <c r="F64" s="1174">
        <f>+[5]cons!E63</f>
        <v>0</v>
      </c>
      <c r="G64" s="1173"/>
      <c r="H64" s="1174">
        <f>+[5]cons!G63</f>
        <v>7</v>
      </c>
      <c r="I64" s="1173"/>
      <c r="J64" s="1174">
        <f>+[5]cons!I63</f>
        <v>0</v>
      </c>
      <c r="K64" s="1173"/>
      <c r="L64" s="1174">
        <f>+[5]cons!K63</f>
        <v>0</v>
      </c>
      <c r="M64" s="1173"/>
      <c r="N64" s="1174">
        <f>+[5]cons!M63</f>
        <v>0</v>
      </c>
      <c r="O64" s="1173"/>
      <c r="P64" s="1174">
        <f>+[5]cons!O63</f>
        <v>0</v>
      </c>
      <c r="Q64" s="1173"/>
      <c r="R64" s="1174">
        <f>+[5]cons!Q63</f>
        <v>0</v>
      </c>
      <c r="S64" s="1173"/>
      <c r="T64" s="1174">
        <f>+[5]cons!S63</f>
        <v>0</v>
      </c>
      <c r="U64" s="1173"/>
      <c r="V64" s="1174">
        <f>+[5]cons!U63</f>
        <v>0</v>
      </c>
      <c r="W64" s="1173"/>
      <c r="X64" s="1174">
        <f>+[5]cons!W63</f>
        <v>0</v>
      </c>
      <c r="Y64" s="1173"/>
      <c r="Z64" s="1174">
        <f>+[5]cons!Y63</f>
        <v>0</v>
      </c>
      <c r="AA64" s="1173"/>
      <c r="AB64" s="1174">
        <f>+[5]cons!AA63</f>
        <v>0</v>
      </c>
      <c r="AC64" s="1173"/>
      <c r="AD64" s="1174">
        <f>+[5]cons!AC63</f>
        <v>0</v>
      </c>
    </row>
    <row r="65" spans="1:30">
      <c r="A65" s="1138" t="s">
        <v>571</v>
      </c>
      <c r="B65" s="1193">
        <f>SUM(B54:B64)</f>
        <v>5783.1</v>
      </c>
      <c r="C65" s="188"/>
      <c r="D65" s="763"/>
      <c r="E65" s="188"/>
      <c r="F65" s="1194">
        <f>SUM(F54:F64)</f>
        <v>527</v>
      </c>
      <c r="G65" s="763"/>
      <c r="H65" s="1195">
        <f>SUM(H54:H64)</f>
        <v>677.1</v>
      </c>
      <c r="I65" s="188"/>
      <c r="J65" s="1194">
        <f>SUM(J54:J64)</f>
        <v>304</v>
      </c>
      <c r="K65" s="763"/>
      <c r="L65" s="1195">
        <f>SUM(L54:L64)</f>
        <v>403</v>
      </c>
      <c r="M65" s="188"/>
      <c r="N65" s="1194">
        <f>SUM(N54:N64)</f>
        <v>324</v>
      </c>
      <c r="O65" s="763"/>
      <c r="P65" s="1195">
        <f>SUM(P54:P64)</f>
        <v>132</v>
      </c>
      <c r="Q65" s="188"/>
      <c r="R65" s="1194">
        <f>SUM(R54:R64)</f>
        <v>829</v>
      </c>
      <c r="S65" s="763"/>
      <c r="T65" s="1195">
        <f>SUM(T54:T64)</f>
        <v>1009</v>
      </c>
      <c r="U65" s="188"/>
      <c r="V65" s="1194">
        <f>SUM(V54:V64)</f>
        <v>282</v>
      </c>
      <c r="W65" s="763"/>
      <c r="X65" s="1195">
        <f>SUM(X54:X64)</f>
        <v>542</v>
      </c>
      <c r="Y65" s="188"/>
      <c r="Z65" s="1194">
        <f>SUM(Z54:Z64)</f>
        <v>87</v>
      </c>
      <c r="AA65" s="763"/>
      <c r="AB65" s="1195">
        <f>SUM(AB54:AB64)</f>
        <v>314</v>
      </c>
      <c r="AC65" s="188"/>
      <c r="AD65" s="1194">
        <f>SUM(AD54:AD64)</f>
        <v>353</v>
      </c>
    </row>
  </sheetData>
  <mergeCells count="14">
    <mergeCell ref="W3:X3"/>
    <mergeCell ref="Y3:Z3"/>
    <mergeCell ref="AC3:AD3"/>
    <mergeCell ref="AA3:AB3"/>
    <mergeCell ref="A1:AB1"/>
    <mergeCell ref="E3:F3"/>
    <mergeCell ref="G3:H3"/>
    <mergeCell ref="I3:J3"/>
    <mergeCell ref="K3:L3"/>
    <mergeCell ref="M3:N3"/>
    <mergeCell ref="O3:P3"/>
    <mergeCell ref="Q3:R3"/>
    <mergeCell ref="S3:T3"/>
    <mergeCell ref="U3:V3"/>
  </mergeCells>
  <phoneticPr fontId="19" type="noConversion"/>
  <dataValidations disablePrompts="1" count="3">
    <dataValidation type="list" errorStyle="information" allowBlank="1" showInputMessage="1" showErrorMessage="1" errorTitle="COMUNAS" error="Por favor, utilice la lista disponible con la flecha lateral para seleccionar la Comuna._x000a_Gracias!_x000a_EQUIPO DEIS" sqref="AC3 I3:P3 U3:AA3">
      <formula1>$AM$1:$AM$325</formula1>
    </dataValidation>
    <dataValidation type="list" errorStyle="information" allowBlank="1" showInputMessage="1" showErrorMessage="1" errorTitle="COMUNAS" error="Por favor, utilice la lista disponible con la flecha lateral para seleccionar la Comuna._x000a_Gracias!_x000a_EQUIPO DEIS" sqref="S3:T3">
      <formula1>$AQ$1:$AQ$325</formula1>
    </dataValidation>
    <dataValidation type="list" errorStyle="information" allowBlank="1" showInputMessage="1" showErrorMessage="1" errorTitle="COMUNAS" error="Por favor, utilice la lista disponible con la flecha lateral para seleccionar la Comuna._x000a_Gracias!_x000a_EQUIPO DEIS" sqref="Q3:R3">
      <formula1>$AN$1:$AN$325</formula1>
    </dataValidation>
  </dataValidations>
  <pageMargins left="1.1811023622047245" right="0.19685039370078741" top="0.78740157480314965" bottom="0.78740157480314965" header="0" footer="0"/>
  <pageSetup paperSize="5" scale="75" orientation="landscape" horizontalDpi="300" verticalDpi="300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1"/>
  <sheetViews>
    <sheetView topLeftCell="A25" workbookViewId="0">
      <selection activeCell="I12" sqref="I12"/>
    </sheetView>
  </sheetViews>
  <sheetFormatPr baseColWidth="10" defaultRowHeight="12.75"/>
  <cols>
    <col min="1" max="1" width="18.85546875" customWidth="1"/>
    <col min="2" max="2" width="10.85546875" customWidth="1"/>
    <col min="3" max="3" width="10.7109375" customWidth="1"/>
    <col min="4" max="4" width="11.140625" customWidth="1"/>
    <col min="5" max="5" width="11" customWidth="1"/>
    <col min="6" max="6" width="11.28515625" customWidth="1"/>
    <col min="7" max="7" width="10.42578125" customWidth="1"/>
    <col min="8" max="8" width="14.140625" customWidth="1"/>
    <col min="9" max="9" width="7.5703125" customWidth="1"/>
    <col min="10" max="10" width="7.7109375" customWidth="1"/>
    <col min="11" max="11" width="12.140625" customWidth="1"/>
  </cols>
  <sheetData>
    <row r="1" spans="1:10">
      <c r="A1" s="83" t="s">
        <v>563</v>
      </c>
      <c r="B1" s="83"/>
      <c r="C1" s="84"/>
      <c r="D1" s="1"/>
      <c r="E1" s="1"/>
      <c r="F1" s="1"/>
      <c r="G1" s="1"/>
      <c r="H1" s="1"/>
    </row>
    <row r="2" spans="1:10">
      <c r="A2" s="83"/>
      <c r="B2" s="83"/>
      <c r="C2" s="84"/>
      <c r="D2" s="1"/>
      <c r="E2" s="1"/>
      <c r="F2" s="1"/>
      <c r="G2" s="1"/>
      <c r="H2" s="1"/>
    </row>
    <row r="3" spans="1:10">
      <c r="A3" s="3" t="s">
        <v>1435</v>
      </c>
      <c r="B3" s="83"/>
      <c r="C3" s="84"/>
      <c r="D3" s="1"/>
      <c r="E3" s="1"/>
      <c r="F3" s="1"/>
      <c r="G3" s="1"/>
      <c r="H3" s="1"/>
    </row>
    <row r="4" spans="1:10">
      <c r="A4" s="1"/>
      <c r="B4" s="1"/>
      <c r="C4" s="1"/>
      <c r="D4" s="1"/>
      <c r="E4" s="1"/>
      <c r="F4" s="1"/>
    </row>
    <row r="5" spans="1:10">
      <c r="A5" s="1"/>
      <c r="B5" s="1"/>
      <c r="C5" s="1"/>
      <c r="D5" s="1"/>
      <c r="E5" s="1"/>
      <c r="F5" s="1"/>
    </row>
    <row r="6" spans="1:10">
      <c r="A6" s="1"/>
      <c r="B6" s="1"/>
      <c r="C6" s="1"/>
      <c r="D6" s="1"/>
      <c r="E6" s="1"/>
      <c r="F6" s="1"/>
    </row>
    <row r="7" spans="1:10">
      <c r="A7" s="1"/>
      <c r="B7" s="1"/>
      <c r="C7" s="1"/>
      <c r="D7" s="1"/>
      <c r="E7" s="1"/>
      <c r="F7" s="1"/>
    </row>
    <row r="8" spans="1:10">
      <c r="A8" s="1"/>
      <c r="B8" s="1"/>
      <c r="C8" s="1"/>
      <c r="D8" s="1"/>
      <c r="E8" s="1"/>
      <c r="F8" s="1"/>
    </row>
    <row r="9" spans="1:10">
      <c r="A9" s="1"/>
      <c r="B9" s="1"/>
      <c r="C9" s="1"/>
      <c r="D9" s="1"/>
      <c r="E9" s="1"/>
      <c r="F9" s="1"/>
    </row>
    <row r="10" spans="1:10" ht="18" customHeight="1">
      <c r="A10" s="85"/>
      <c r="B10" s="86" t="s">
        <v>564</v>
      </c>
      <c r="C10" s="87"/>
      <c r="D10" s="88"/>
      <c r="E10" s="89" t="s">
        <v>565</v>
      </c>
      <c r="F10" s="90" t="s">
        <v>566</v>
      </c>
      <c r="G10" s="1157" t="s">
        <v>567</v>
      </c>
      <c r="H10" s="445"/>
    </row>
    <row r="11" spans="1:10" ht="17.25" customHeight="1">
      <c r="A11" s="91" t="s">
        <v>568</v>
      </c>
      <c r="B11" s="92" t="s">
        <v>569</v>
      </c>
      <c r="C11" s="93" t="s">
        <v>570</v>
      </c>
      <c r="D11" s="93" t="s">
        <v>571</v>
      </c>
      <c r="E11" s="94" t="s">
        <v>572</v>
      </c>
      <c r="F11" s="94" t="s">
        <v>573</v>
      </c>
      <c r="G11" s="1158" t="s">
        <v>574</v>
      </c>
      <c r="H11" s="1156"/>
    </row>
    <row r="12" spans="1:10" ht="18" customHeight="1">
      <c r="A12" s="95" t="s">
        <v>575</v>
      </c>
      <c r="B12" s="96">
        <f>+'8'!B9-'6'!C12</f>
        <v>72901.417000000001</v>
      </c>
      <c r="C12" s="97">
        <f>+'8'!B9*0.071</f>
        <v>5571.5829999999996</v>
      </c>
      <c r="D12" s="96">
        <f>SUM(B12:C12)</f>
        <v>78473</v>
      </c>
      <c r="E12" s="98">
        <f>+C12/D12*100</f>
        <v>7.1</v>
      </c>
      <c r="F12" s="99">
        <v>1258.3</v>
      </c>
      <c r="G12" s="231">
        <f>+D12/F12</f>
        <v>62.364301041087181</v>
      </c>
      <c r="H12" s="110"/>
      <c r="I12" s="569" t="s">
        <v>575</v>
      </c>
      <c r="J12" s="157">
        <f>+E12</f>
        <v>7.1</v>
      </c>
    </row>
    <row r="13" spans="1:10" ht="18" customHeight="1">
      <c r="A13" s="95" t="s">
        <v>576</v>
      </c>
      <c r="B13" s="96">
        <f>+'8'!B17-'6'!C13</f>
        <v>9505.884</v>
      </c>
      <c r="C13" s="97">
        <f>+'8'!B17*0.476</f>
        <v>8635.116</v>
      </c>
      <c r="D13" s="96">
        <f>SUM(B13:C13)</f>
        <v>18141</v>
      </c>
      <c r="E13" s="98">
        <f>+C13/D13*100</f>
        <v>47.599999999999994</v>
      </c>
      <c r="F13" s="99">
        <v>1359</v>
      </c>
      <c r="G13" s="231">
        <f>+D13/F13</f>
        <v>13.348785871964679</v>
      </c>
      <c r="H13" s="110"/>
      <c r="I13" s="569" t="s">
        <v>724</v>
      </c>
      <c r="J13" s="157">
        <f>+E13</f>
        <v>47.599999999999994</v>
      </c>
    </row>
    <row r="14" spans="1:10" ht="18" customHeight="1">
      <c r="A14" s="95" t="s">
        <v>577</v>
      </c>
      <c r="B14" s="96">
        <f>+'8'!B25-'6'!C14</f>
        <v>5833.8</v>
      </c>
      <c r="C14" s="97">
        <f>+'8'!B25*0.475</f>
        <v>5278.2</v>
      </c>
      <c r="D14" s="96">
        <f>SUM(B14:C14)</f>
        <v>11112</v>
      </c>
      <c r="E14" s="98">
        <f>+C14/D14*100</f>
        <v>47.5</v>
      </c>
      <c r="F14" s="99">
        <v>332.3</v>
      </c>
      <c r="G14" s="231">
        <f>+D14/F14</f>
        <v>33.439662955160998</v>
      </c>
      <c r="H14" s="110"/>
      <c r="I14" s="569" t="s">
        <v>725</v>
      </c>
      <c r="J14" s="157">
        <f>+E14</f>
        <v>47.5</v>
      </c>
    </row>
    <row r="15" spans="1:10" ht="18" customHeight="1">
      <c r="A15" s="95" t="s">
        <v>578</v>
      </c>
      <c r="B15" s="96">
        <f>+'8'!B29-'6'!C15</f>
        <v>7079.1776</v>
      </c>
      <c r="C15" s="97">
        <f>+'8'!B29*0.1442</f>
        <v>1192.8224</v>
      </c>
      <c r="D15" s="96">
        <f>SUM(B15:C15)</f>
        <v>8272</v>
      </c>
      <c r="E15" s="98">
        <f>+C15/D15*100</f>
        <v>14.42</v>
      </c>
      <c r="F15" s="99">
        <v>128</v>
      </c>
      <c r="G15" s="231">
        <f>+D15/F15</f>
        <v>64.625</v>
      </c>
      <c r="H15" s="110"/>
      <c r="I15" s="569" t="s">
        <v>726</v>
      </c>
      <c r="J15" s="157">
        <f>+E15</f>
        <v>14.42</v>
      </c>
    </row>
    <row r="16" spans="1:10" ht="14.25" customHeight="1">
      <c r="A16" s="95"/>
      <c r="B16" s="96"/>
      <c r="C16" s="97"/>
      <c r="D16" s="100"/>
      <c r="E16" s="97"/>
      <c r="F16" s="99"/>
      <c r="G16" s="546"/>
      <c r="H16" s="100"/>
      <c r="I16" s="569" t="s">
        <v>580</v>
      </c>
      <c r="J16" s="157">
        <f t="shared" ref="J16:J21" si="0">+E19</f>
        <v>10</v>
      </c>
    </row>
    <row r="17" spans="1:10" ht="18" customHeight="1">
      <c r="A17" s="102" t="s">
        <v>579</v>
      </c>
      <c r="B17" s="103">
        <f>SUM(B12:B15)</f>
        <v>95320.278600000005</v>
      </c>
      <c r="C17" s="104">
        <f>SUM(C12:C15)</f>
        <v>20677.721400000002</v>
      </c>
      <c r="D17" s="103">
        <f>SUM(B17:C17)</f>
        <v>115998</v>
      </c>
      <c r="E17" s="105">
        <f>+C17/D17*100</f>
        <v>17.825929240159315</v>
      </c>
      <c r="F17" s="106">
        <f>SUM(F12:F15)</f>
        <v>3077.6000000000004</v>
      </c>
      <c r="G17" s="232">
        <f>+D17/F17</f>
        <v>37.691057967247204</v>
      </c>
      <c r="H17" s="156"/>
      <c r="I17" s="569" t="s">
        <v>581</v>
      </c>
      <c r="J17" s="157">
        <f t="shared" si="0"/>
        <v>56.999999999999993</v>
      </c>
    </row>
    <row r="18" spans="1:10" ht="15" customHeight="1">
      <c r="A18" s="95"/>
      <c r="B18" s="96"/>
      <c r="C18" s="97"/>
      <c r="D18" s="95"/>
      <c r="E18" s="107"/>
      <c r="F18" s="108"/>
      <c r="G18" s="546"/>
      <c r="H18" s="569"/>
      <c r="I18" s="569" t="s">
        <v>582</v>
      </c>
      <c r="J18" s="157">
        <f t="shared" si="0"/>
        <v>38</v>
      </c>
    </row>
    <row r="19" spans="1:10" ht="18" customHeight="1">
      <c r="A19" s="95" t="s">
        <v>580</v>
      </c>
      <c r="B19" s="96">
        <f>+'8'!B37-'6'!C19</f>
        <v>72431.100000000006</v>
      </c>
      <c r="C19" s="97">
        <f>+'8'!B37*0.1</f>
        <v>8047.9000000000005</v>
      </c>
      <c r="D19" s="96">
        <f t="shared" ref="D19:D24" si="1">SUM(B19:C19)</f>
        <v>80479</v>
      </c>
      <c r="E19" s="98">
        <f t="shared" ref="E19:E24" si="2">+C19/D19*100</f>
        <v>10</v>
      </c>
      <c r="F19" s="99">
        <v>200.8</v>
      </c>
      <c r="G19" s="231">
        <f t="shared" ref="G19:G24" si="3">+D19/F19</f>
        <v>400.79183266932267</v>
      </c>
      <c r="H19" s="110"/>
      <c r="I19" s="569" t="s">
        <v>727</v>
      </c>
      <c r="J19" s="157">
        <f t="shared" si="0"/>
        <v>55.000000000000007</v>
      </c>
    </row>
    <row r="20" spans="1:10" ht="18" customHeight="1">
      <c r="A20" s="95" t="s">
        <v>581</v>
      </c>
      <c r="B20" s="96">
        <f>+'8'!B43-'6'!C20</f>
        <v>7617.880000000001</v>
      </c>
      <c r="C20" s="97">
        <f>+'8'!B43*0.57</f>
        <v>10098.119999999999</v>
      </c>
      <c r="D20" s="96">
        <f t="shared" si="1"/>
        <v>17716</v>
      </c>
      <c r="E20" s="98">
        <f t="shared" si="2"/>
        <v>56.999999999999993</v>
      </c>
      <c r="F20" s="99">
        <v>1397</v>
      </c>
      <c r="G20" s="231">
        <f t="shared" si="3"/>
        <v>12.681460272011453</v>
      </c>
      <c r="H20" s="110"/>
      <c r="I20" s="569" t="s">
        <v>584</v>
      </c>
      <c r="J20" s="157">
        <f t="shared" si="0"/>
        <v>25</v>
      </c>
    </row>
    <row r="21" spans="1:10" ht="18" customHeight="1">
      <c r="A21" s="95" t="s">
        <v>582</v>
      </c>
      <c r="B21" s="96">
        <f>+'8'!B56-'6'!C21</f>
        <v>9215.68</v>
      </c>
      <c r="C21" s="97">
        <f>+'8'!B56*0.38</f>
        <v>5648.32</v>
      </c>
      <c r="D21" s="96">
        <f t="shared" si="1"/>
        <v>14864</v>
      </c>
      <c r="E21" s="98">
        <f t="shared" si="2"/>
        <v>38</v>
      </c>
      <c r="F21" s="99">
        <v>178.3</v>
      </c>
      <c r="G21" s="231">
        <f t="shared" si="3"/>
        <v>83.365114974761639</v>
      </c>
      <c r="H21" s="110"/>
      <c r="I21" s="569" t="s">
        <v>585</v>
      </c>
      <c r="J21" s="157">
        <f t="shared" si="0"/>
        <v>45</v>
      </c>
    </row>
    <row r="22" spans="1:10" ht="18" customHeight="1">
      <c r="A22" s="95" t="s">
        <v>583</v>
      </c>
      <c r="B22" s="96">
        <f>+'8'!B61-'6'!C22</f>
        <v>3456.8999999999996</v>
      </c>
      <c r="C22" s="97">
        <f>+'8'!B61*0.55</f>
        <v>4225.1000000000004</v>
      </c>
      <c r="D22" s="96">
        <f t="shared" si="1"/>
        <v>7682</v>
      </c>
      <c r="E22" s="98">
        <f t="shared" si="2"/>
        <v>55.000000000000007</v>
      </c>
      <c r="F22" s="99">
        <v>123.5</v>
      </c>
      <c r="G22" s="231">
        <f t="shared" si="3"/>
        <v>62.202429149797574</v>
      </c>
      <c r="H22" s="110"/>
    </row>
    <row r="23" spans="1:10" ht="18" customHeight="1">
      <c r="A23" s="95" t="s">
        <v>584</v>
      </c>
      <c r="B23" s="96">
        <f>+'8'!B67-'6'!C23</f>
        <v>17857.5</v>
      </c>
      <c r="C23" s="97">
        <f>+'8'!B67*0.25</f>
        <v>5952.5</v>
      </c>
      <c r="D23" s="96">
        <f t="shared" si="1"/>
        <v>23810</v>
      </c>
      <c r="E23" s="98">
        <f t="shared" si="2"/>
        <v>25</v>
      </c>
      <c r="F23" s="99">
        <v>349</v>
      </c>
      <c r="G23" s="231">
        <f t="shared" si="3"/>
        <v>68.223495702005735</v>
      </c>
      <c r="H23" s="110"/>
    </row>
    <row r="24" spans="1:10" ht="18" customHeight="1">
      <c r="A24" s="95" t="s">
        <v>585</v>
      </c>
      <c r="B24" s="96">
        <f>+'8'!B73-'6'!C24</f>
        <v>7380.45</v>
      </c>
      <c r="C24" s="97">
        <f>+'8'!B73*0.45</f>
        <v>6038.55</v>
      </c>
      <c r="D24" s="96">
        <f t="shared" si="1"/>
        <v>13419</v>
      </c>
      <c r="E24" s="98">
        <f t="shared" si="2"/>
        <v>45</v>
      </c>
      <c r="F24" s="99">
        <v>350.2</v>
      </c>
      <c r="G24" s="231">
        <f t="shared" si="3"/>
        <v>38.318103940605369</v>
      </c>
      <c r="H24" s="110"/>
    </row>
    <row r="25" spans="1:10" ht="13.5" customHeight="1">
      <c r="A25" s="95"/>
      <c r="B25" s="96"/>
      <c r="C25" s="97"/>
      <c r="D25" s="110"/>
      <c r="E25" s="97"/>
      <c r="F25" s="99"/>
      <c r="G25" s="231"/>
      <c r="H25" s="110"/>
    </row>
    <row r="26" spans="1:10" ht="18" customHeight="1">
      <c r="A26" s="102" t="s">
        <v>587</v>
      </c>
      <c r="B26" s="103">
        <f>SUM(B19:B25)</f>
        <v>117959.51</v>
      </c>
      <c r="C26" s="104">
        <f>SUM(C19:C25)</f>
        <v>40010.490000000005</v>
      </c>
      <c r="D26" s="103">
        <f>SUM(B26:C26)</f>
        <v>157970</v>
      </c>
      <c r="E26" s="105">
        <f>+C26/D26*100</f>
        <v>25.327904032411219</v>
      </c>
      <c r="F26" s="106">
        <f>SUM(F19:F24)</f>
        <v>2598.7999999999997</v>
      </c>
      <c r="G26" s="232">
        <f>+D26/F26</f>
        <v>60.785747267969839</v>
      </c>
      <c r="H26" s="156"/>
    </row>
    <row r="27" spans="1:10" ht="11.25" customHeight="1">
      <c r="A27" s="95"/>
      <c r="B27" s="96"/>
      <c r="C27" s="97"/>
      <c r="D27" s="100"/>
      <c r="E27" s="97"/>
      <c r="F27" s="99"/>
      <c r="G27" s="546"/>
      <c r="H27" s="100"/>
    </row>
    <row r="28" spans="1:10" ht="21.75" customHeight="1">
      <c r="A28" s="111" t="s">
        <v>588</v>
      </c>
      <c r="B28" s="112">
        <f>+B17+B26</f>
        <v>213279.7886</v>
      </c>
      <c r="C28" s="113">
        <f>+C17+C26</f>
        <v>60688.211400000007</v>
      </c>
      <c r="D28" s="112">
        <f>SUM(B28:C28)</f>
        <v>273968</v>
      </c>
      <c r="E28" s="114">
        <f>+C28/D28*100</f>
        <v>22.151569307364365</v>
      </c>
      <c r="F28" s="115">
        <f>+F17+F26</f>
        <v>5676.4</v>
      </c>
      <c r="G28" s="233">
        <f>+D28/F28</f>
        <v>48.264392925093375</v>
      </c>
      <c r="H28" s="156"/>
    </row>
    <row r="29" spans="1:10">
      <c r="A29" s="8" t="s">
        <v>1365</v>
      </c>
      <c r="B29" s="8"/>
      <c r="C29" s="8"/>
      <c r="D29" s="8"/>
      <c r="E29" s="8"/>
      <c r="F29" s="8"/>
    </row>
    <row r="30" spans="1:10">
      <c r="A30" s="8"/>
      <c r="B30" s="8"/>
      <c r="C30" s="8"/>
      <c r="D30" s="8"/>
      <c r="E30" s="8"/>
      <c r="F30" s="8"/>
    </row>
    <row r="31" spans="1:10">
      <c r="A31" s="8"/>
      <c r="B31" s="8"/>
      <c r="C31" s="8"/>
      <c r="D31" s="8"/>
      <c r="E31" s="8"/>
      <c r="F31" s="8"/>
    </row>
    <row r="32" spans="1:10">
      <c r="A32" s="8"/>
      <c r="B32" s="8"/>
      <c r="C32" s="8"/>
      <c r="D32" s="8"/>
      <c r="E32" s="8"/>
      <c r="F32" s="8"/>
    </row>
    <row r="33" spans="1:6">
      <c r="A33" s="8"/>
      <c r="B33" s="8"/>
      <c r="C33" s="8"/>
      <c r="D33" s="8"/>
      <c r="E33" s="8"/>
      <c r="F33" s="8"/>
    </row>
    <row r="34" spans="1:6">
      <c r="A34" s="8"/>
      <c r="B34" s="8"/>
      <c r="C34" s="8"/>
      <c r="D34" s="8"/>
      <c r="E34" s="8"/>
      <c r="F34" s="8"/>
    </row>
    <row r="35" spans="1:6">
      <c r="A35" s="8"/>
      <c r="B35" s="8"/>
      <c r="C35" s="8"/>
      <c r="D35" s="8"/>
      <c r="E35" s="8"/>
      <c r="F35" s="8"/>
    </row>
    <row r="36" spans="1:6">
      <c r="A36" s="8"/>
      <c r="B36" s="8"/>
      <c r="C36" s="8"/>
      <c r="D36" s="8"/>
      <c r="E36" s="8"/>
      <c r="F36" s="8"/>
    </row>
    <row r="37" spans="1:6">
      <c r="A37" s="8"/>
      <c r="B37" s="8"/>
      <c r="C37" s="8"/>
      <c r="D37" s="8"/>
      <c r="E37" s="8"/>
      <c r="F37" s="8"/>
    </row>
    <row r="38" spans="1:6">
      <c r="A38" s="8"/>
      <c r="B38" s="8"/>
      <c r="C38" s="8"/>
      <c r="D38" s="8"/>
      <c r="E38" s="8"/>
      <c r="F38" s="8"/>
    </row>
    <row r="39" spans="1:6">
      <c r="A39" s="8"/>
      <c r="B39" s="8"/>
      <c r="C39" s="8"/>
      <c r="D39" s="8"/>
      <c r="E39" s="8"/>
      <c r="F39" s="8"/>
    </row>
    <row r="40" spans="1:6">
      <c r="A40" s="8"/>
      <c r="B40" s="8"/>
      <c r="C40" s="8"/>
      <c r="D40" s="8"/>
      <c r="E40" s="8"/>
      <c r="F40" s="8"/>
    </row>
    <row r="41" spans="1:6">
      <c r="A41" s="8"/>
      <c r="B41" s="8"/>
      <c r="C41" s="8"/>
      <c r="D41" s="8"/>
      <c r="E41" s="8"/>
      <c r="F41" s="8"/>
    </row>
  </sheetData>
  <phoneticPr fontId="19" type="noConversion"/>
  <pageMargins left="0.98425196850393704" right="0.59055118110236227" top="1.3779527559055118" bottom="0.98425196850393704" header="0.51181102362204722" footer="0.51181102362204722"/>
  <pageSetup paperSize="5" orientation="portrait" horizontalDpi="300" verticalDpi="300" r:id="rId1"/>
  <headerFooter alignWithMargins="0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56"/>
  <sheetViews>
    <sheetView topLeftCell="A52" workbookViewId="0">
      <selection activeCell="J4" sqref="J4"/>
    </sheetView>
  </sheetViews>
  <sheetFormatPr baseColWidth="10" defaultRowHeight="12.75"/>
  <cols>
    <col min="1" max="1" width="24.5703125" customWidth="1"/>
    <col min="2" max="2" width="10.85546875" style="439" customWidth="1"/>
    <col min="3" max="3" width="12.7109375" style="593" customWidth="1"/>
    <col min="4" max="4" width="9.85546875" style="593" customWidth="1"/>
    <col min="5" max="5" width="9.28515625" style="593" customWidth="1"/>
    <col min="6" max="7" width="9.85546875" style="593" customWidth="1"/>
    <col min="8" max="8" width="16.7109375" customWidth="1"/>
    <col min="9" max="9" width="16" customWidth="1"/>
    <col min="10" max="10" width="12.5703125" customWidth="1"/>
  </cols>
  <sheetData>
    <row r="1" spans="1:10">
      <c r="A1" s="1262" t="s">
        <v>1446</v>
      </c>
      <c r="B1" s="1262"/>
      <c r="C1" s="1262"/>
      <c r="D1" s="1262"/>
      <c r="E1" s="1262"/>
      <c r="F1" s="1262"/>
      <c r="G1" s="1262"/>
      <c r="H1" s="1262"/>
      <c r="I1" s="1262"/>
      <c r="J1" s="1262"/>
    </row>
    <row r="2" spans="1:10" ht="20.25" customHeight="1">
      <c r="A2" s="575"/>
      <c r="B2" s="592"/>
    </row>
    <row r="3" spans="1:10" s="361" customFormat="1" ht="24" customHeight="1">
      <c r="A3" s="521" t="s">
        <v>1104</v>
      </c>
      <c r="B3" s="594" t="s">
        <v>1153</v>
      </c>
      <c r="C3" s="594" t="s">
        <v>1154</v>
      </c>
      <c r="D3" s="1258" t="s">
        <v>1155</v>
      </c>
      <c r="E3" s="1258"/>
      <c r="F3" s="1258"/>
      <c r="G3" s="1258"/>
      <c r="H3" s="1259" t="s">
        <v>1156</v>
      </c>
      <c r="I3" s="1260"/>
      <c r="J3" s="1261"/>
    </row>
    <row r="4" spans="1:10" s="361" customFormat="1" ht="30" customHeight="1">
      <c r="A4" s="579"/>
      <c r="B4" s="596" t="s">
        <v>571</v>
      </c>
      <c r="C4" s="329" t="s">
        <v>1104</v>
      </c>
      <c r="D4" s="597" t="s">
        <v>571</v>
      </c>
      <c r="E4" s="597" t="s">
        <v>1157</v>
      </c>
      <c r="F4" s="598" t="s">
        <v>1158</v>
      </c>
      <c r="G4" s="598" t="s">
        <v>1159</v>
      </c>
      <c r="H4" s="1176" t="s">
        <v>1332</v>
      </c>
      <c r="I4" s="1176" t="s">
        <v>1333</v>
      </c>
      <c r="J4" s="1176" t="s">
        <v>1451</v>
      </c>
    </row>
    <row r="5" spans="1:10" s="361" customFormat="1" ht="23.25" customHeight="1">
      <c r="A5" s="599" t="s">
        <v>1113</v>
      </c>
      <c r="B5" s="600">
        <f>+'63'!B5</f>
        <v>1018</v>
      </c>
      <c r="C5" s="329">
        <f>+[6]A07!B12</f>
        <v>7893</v>
      </c>
      <c r="D5" s="329">
        <f>SUM(E5:G5)</f>
        <v>1535</v>
      </c>
      <c r="E5" s="329">
        <f>+[6]A07!Y12+[6]A07!AC12</f>
        <v>791</v>
      </c>
      <c r="F5" s="1170">
        <f>+[6]A07!Z12+[6]A07!AD12</f>
        <v>673</v>
      </c>
      <c r="G5" s="1170">
        <f>+[6]A07!AA12+[6]A07!AE12</f>
        <v>71</v>
      </c>
      <c r="H5" s="1133">
        <f>+E5/B5*100</f>
        <v>77.701375245579555</v>
      </c>
      <c r="I5" s="1133">
        <f>+D5/C5*100</f>
        <v>19.447611807931079</v>
      </c>
      <c r="J5" s="1133">
        <f>+E5/C5*100</f>
        <v>10.021538071709109</v>
      </c>
    </row>
    <row r="6" spans="1:10" s="361" customFormat="1" ht="23.25" customHeight="1">
      <c r="A6" s="599" t="s">
        <v>1114</v>
      </c>
      <c r="B6" s="600">
        <f>+'63'!B6</f>
        <v>5166</v>
      </c>
      <c r="C6" s="1170">
        <f>+[6]A07!B13</f>
        <v>23849</v>
      </c>
      <c r="D6" s="329">
        <f t="shared" ref="D6:D30" si="0">SUM(E6:G6)</f>
        <v>3207</v>
      </c>
      <c r="E6" s="1170">
        <f>+[6]A07!Y13+[6]A07!AC13</f>
        <v>2668</v>
      </c>
      <c r="F6" s="1170">
        <f>+[6]A07!Z13+[6]A07!AD13</f>
        <v>539</v>
      </c>
      <c r="G6" s="1170">
        <f>+[6]A07!AA13+[6]A07!AE13</f>
        <v>0</v>
      </c>
      <c r="H6" s="1133">
        <f t="shared" ref="H6:H51" si="1">+E6/B6*100</f>
        <v>51.645373596593117</v>
      </c>
      <c r="I6" s="1133">
        <f t="shared" ref="I6:I51" si="2">+D6/C6*100</f>
        <v>13.447104700406726</v>
      </c>
      <c r="J6" s="1133">
        <f t="shared" ref="J6:J51" si="3">+E6/C6*100</f>
        <v>11.18705186800285</v>
      </c>
    </row>
    <row r="7" spans="1:10" s="361" customFormat="1" ht="23.25" customHeight="1">
      <c r="A7" s="599" t="s">
        <v>1115</v>
      </c>
      <c r="B7" s="600">
        <f>+'63'!B7</f>
        <v>0</v>
      </c>
      <c r="C7" s="1170">
        <f>+[6]A07!B14</f>
        <v>1115</v>
      </c>
      <c r="D7" s="329">
        <f t="shared" si="0"/>
        <v>0</v>
      </c>
      <c r="E7" s="1170">
        <f>+[6]A07!Y14+[6]A07!AC14</f>
        <v>0</v>
      </c>
      <c r="F7" s="1170">
        <f>+[6]A07!Z14+[6]A07!AD14</f>
        <v>0</v>
      </c>
      <c r="G7" s="1170">
        <f>+[6]A07!AA14+[6]A07!AE14</f>
        <v>0</v>
      </c>
      <c r="H7" s="1133"/>
      <c r="I7" s="1133">
        <f t="shared" si="2"/>
        <v>0</v>
      </c>
      <c r="J7" s="1133">
        <f t="shared" si="3"/>
        <v>0</v>
      </c>
    </row>
    <row r="8" spans="1:10" s="361" customFormat="1" ht="23.25" customHeight="1">
      <c r="A8" s="599" t="s">
        <v>1116</v>
      </c>
      <c r="B8" s="600">
        <f>+'63'!B8</f>
        <v>25</v>
      </c>
      <c r="C8" s="1170">
        <f>+[6]A07!B15</f>
        <v>831</v>
      </c>
      <c r="D8" s="329">
        <f t="shared" si="0"/>
        <v>72</v>
      </c>
      <c r="E8" s="1170">
        <f>+[6]A07!Y15+[6]A07!AC15</f>
        <v>28</v>
      </c>
      <c r="F8" s="1170">
        <f>+[6]A07!Z15+[6]A07!AD15</f>
        <v>44</v>
      </c>
      <c r="G8" s="1170">
        <f>+[6]A07!AA15+[6]A07!AE15</f>
        <v>0</v>
      </c>
      <c r="H8" s="1133">
        <f t="shared" si="1"/>
        <v>112.00000000000001</v>
      </c>
      <c r="I8" s="1133">
        <f t="shared" si="2"/>
        <v>8.6642599277978327</v>
      </c>
      <c r="J8" s="1133">
        <f t="shared" si="3"/>
        <v>3.3694344163658241</v>
      </c>
    </row>
    <row r="9" spans="1:10" s="361" customFormat="1" ht="23.25" customHeight="1">
      <c r="A9" s="599" t="s">
        <v>1117</v>
      </c>
      <c r="B9" s="600">
        <f>+'63'!B9</f>
        <v>48</v>
      </c>
      <c r="C9" s="1170">
        <f>+[6]A07!B16</f>
        <v>5218</v>
      </c>
      <c r="D9" s="329">
        <f t="shared" si="0"/>
        <v>787</v>
      </c>
      <c r="E9" s="1170">
        <f>+[6]A07!Y16+[6]A07!AC16</f>
        <v>218</v>
      </c>
      <c r="F9" s="1170">
        <f>+[6]A07!Z16+[6]A07!AD16</f>
        <v>563</v>
      </c>
      <c r="G9" s="1170">
        <f>+[6]A07!AA16+[6]A07!AE16</f>
        <v>6</v>
      </c>
      <c r="H9" s="1133">
        <f t="shared" si="1"/>
        <v>454.16666666666669</v>
      </c>
      <c r="I9" s="1133">
        <f t="shared" si="2"/>
        <v>15.082407052510542</v>
      </c>
      <c r="J9" s="1133">
        <f t="shared" si="3"/>
        <v>4.1778459179762359</v>
      </c>
    </row>
    <row r="10" spans="1:10" s="361" customFormat="1" ht="23.25" customHeight="1">
      <c r="A10" s="599" t="s">
        <v>1118</v>
      </c>
      <c r="B10" s="600">
        <f>+'63'!B10</f>
        <v>17</v>
      </c>
      <c r="C10" s="1170">
        <f>+[6]A07!B17</f>
        <v>484</v>
      </c>
      <c r="D10" s="329">
        <f t="shared" si="0"/>
        <v>116</v>
      </c>
      <c r="E10" s="1170">
        <f>+[6]A07!Y17+[6]A07!AC17</f>
        <v>9</v>
      </c>
      <c r="F10" s="1170">
        <f>+[6]A07!Z17+[6]A07!AD17</f>
        <v>107</v>
      </c>
      <c r="G10" s="1170">
        <f>+[6]A07!AA17+[6]A07!AE17</f>
        <v>0</v>
      </c>
      <c r="H10" s="1133">
        <f t="shared" si="1"/>
        <v>52.941176470588239</v>
      </c>
      <c r="I10" s="1133">
        <f t="shared" si="2"/>
        <v>23.966942148760332</v>
      </c>
      <c r="J10" s="1133">
        <f t="shared" si="3"/>
        <v>1.859504132231405</v>
      </c>
    </row>
    <row r="11" spans="1:10" s="361" customFormat="1" ht="23.25" customHeight="1">
      <c r="A11" s="599" t="s">
        <v>1119</v>
      </c>
      <c r="B11" s="600">
        <f>+'63'!B11</f>
        <v>22</v>
      </c>
      <c r="C11" s="1170">
        <f>+[6]A07!B18</f>
        <v>1225</v>
      </c>
      <c r="D11" s="329">
        <f t="shared" si="0"/>
        <v>207</v>
      </c>
      <c r="E11" s="1170">
        <f>+[6]A07!Y18+[6]A07!AC18</f>
        <v>46</v>
      </c>
      <c r="F11" s="1170">
        <f>+[6]A07!Z18+[6]A07!AD18</f>
        <v>161</v>
      </c>
      <c r="G11" s="1170">
        <f>+[6]A07!AA18+[6]A07!AE18</f>
        <v>0</v>
      </c>
      <c r="H11" s="1133">
        <f t="shared" si="1"/>
        <v>209.09090909090909</v>
      </c>
      <c r="I11" s="1133">
        <f t="shared" si="2"/>
        <v>16.897959183673468</v>
      </c>
      <c r="J11" s="1133">
        <f t="shared" si="3"/>
        <v>3.7551020408163263</v>
      </c>
    </row>
    <row r="12" spans="1:10" s="361" customFormat="1" ht="23.25" customHeight="1">
      <c r="A12" s="599" t="s">
        <v>1120</v>
      </c>
      <c r="B12" s="600">
        <f>+'63'!B12</f>
        <v>0</v>
      </c>
      <c r="C12" s="1170">
        <f>+[6]A07!B19</f>
        <v>0</v>
      </c>
      <c r="D12" s="329">
        <f t="shared" si="0"/>
        <v>0</v>
      </c>
      <c r="E12" s="1170">
        <f>+[6]A07!Y19+[6]A07!AC19</f>
        <v>0</v>
      </c>
      <c r="F12" s="1170">
        <f>+[6]A07!Z19+[6]A07!AD19</f>
        <v>0</v>
      </c>
      <c r="G12" s="1170">
        <f>+[6]A07!AA19+[6]A07!AE19</f>
        <v>0</v>
      </c>
      <c r="H12" s="1133"/>
      <c r="I12" s="1133"/>
      <c r="J12" s="1133"/>
    </row>
    <row r="13" spans="1:10" s="361" customFormat="1" ht="23.25" customHeight="1">
      <c r="A13" s="599" t="s">
        <v>1121</v>
      </c>
      <c r="B13" s="600">
        <f>+'63'!B13</f>
        <v>3</v>
      </c>
      <c r="C13" s="1170">
        <f>+[6]A07!B20</f>
        <v>754</v>
      </c>
      <c r="D13" s="329">
        <f t="shared" si="0"/>
        <v>83</v>
      </c>
      <c r="E13" s="1170">
        <f>+[6]A07!Y20+[6]A07!AC20</f>
        <v>22</v>
      </c>
      <c r="F13" s="1170">
        <f>+[6]A07!Z20+[6]A07!AD20</f>
        <v>61</v>
      </c>
      <c r="G13" s="1170">
        <f>+[6]A07!AA20+[6]A07!AE20</f>
        <v>0</v>
      </c>
      <c r="H13" s="1133">
        <f t="shared" si="1"/>
        <v>733.33333333333326</v>
      </c>
      <c r="I13" s="1133">
        <f t="shared" si="2"/>
        <v>11.007957559681698</v>
      </c>
      <c r="J13" s="1133">
        <f t="shared" si="3"/>
        <v>2.9177718832891246</v>
      </c>
    </row>
    <row r="14" spans="1:10" s="361" customFormat="1" ht="23.25" customHeight="1">
      <c r="A14" s="1072" t="s">
        <v>135</v>
      </c>
      <c r="B14" s="600">
        <f>+'63'!B14</f>
        <v>0</v>
      </c>
      <c r="C14" s="1170">
        <f>+[6]A07!B21</f>
        <v>0</v>
      </c>
      <c r="D14" s="329">
        <f>SUM(E14:G14)</f>
        <v>0</v>
      </c>
      <c r="E14" s="1170">
        <f>+[6]A07!Y21+[6]A07!AC21</f>
        <v>0</v>
      </c>
      <c r="F14" s="1170">
        <f>+[6]A07!Z21+[6]A07!AD21</f>
        <v>0</v>
      </c>
      <c r="G14" s="1170">
        <f>+[6]A07!AA21+[6]A07!AE21</f>
        <v>0</v>
      </c>
      <c r="H14" s="1133"/>
      <c r="I14" s="1133"/>
      <c r="J14" s="1133"/>
    </row>
    <row r="15" spans="1:10" s="361" customFormat="1" ht="23.25" customHeight="1">
      <c r="A15" s="599" t="s">
        <v>1122</v>
      </c>
      <c r="B15" s="600">
        <f>+'63'!B15</f>
        <v>11</v>
      </c>
      <c r="C15" s="1170">
        <f>+[6]A07!B22</f>
        <v>1241</v>
      </c>
      <c r="D15" s="329">
        <f t="shared" si="0"/>
        <v>255</v>
      </c>
      <c r="E15" s="1170">
        <f>+[6]A07!Y22+[6]A07!AC22</f>
        <v>195</v>
      </c>
      <c r="F15" s="1170">
        <f>+[6]A07!Z22+[6]A07!AD22</f>
        <v>60</v>
      </c>
      <c r="G15" s="1170">
        <f>+[6]A07!AA22+[6]A07!AE22</f>
        <v>0</v>
      </c>
      <c r="H15" s="1133">
        <f t="shared" si="1"/>
        <v>1772.7272727272727</v>
      </c>
      <c r="I15" s="1133">
        <f t="shared" si="2"/>
        <v>20.547945205479451</v>
      </c>
      <c r="J15" s="1133">
        <f t="shared" si="3"/>
        <v>15.71313456889605</v>
      </c>
    </row>
    <row r="16" spans="1:10" s="361" customFormat="1" ht="23.25" customHeight="1">
      <c r="A16" s="599" t="s">
        <v>1123</v>
      </c>
      <c r="B16" s="600">
        <f>+'63'!B16</f>
        <v>0</v>
      </c>
      <c r="C16" s="1170">
        <f>+[6]A07!B23</f>
        <v>0</v>
      </c>
      <c r="D16" s="329">
        <f t="shared" si="0"/>
        <v>0</v>
      </c>
      <c r="E16" s="1170">
        <f>+[6]A07!Y23+[6]A07!AC23</f>
        <v>0</v>
      </c>
      <c r="F16" s="1170">
        <f>+[6]A07!Z23+[6]A07!AD23</f>
        <v>0</v>
      </c>
      <c r="G16" s="1170">
        <f>+[6]A07!AA23+[6]A07!AE23</f>
        <v>0</v>
      </c>
      <c r="H16" s="1133"/>
      <c r="I16" s="1133"/>
      <c r="J16" s="1133"/>
    </row>
    <row r="17" spans="1:10" s="361" customFormat="1" ht="23.25" customHeight="1">
      <c r="A17" s="599" t="s">
        <v>1124</v>
      </c>
      <c r="B17" s="600">
        <f>+'63'!B17</f>
        <v>44</v>
      </c>
      <c r="C17" s="1170">
        <f>+[6]A07!B24</f>
        <v>1897</v>
      </c>
      <c r="D17" s="329">
        <f t="shared" si="0"/>
        <v>206</v>
      </c>
      <c r="E17" s="1170">
        <f>+[6]A07!Y24+[6]A07!AC24</f>
        <v>104</v>
      </c>
      <c r="F17" s="1170">
        <f>+[6]A07!Z24+[6]A07!AD24</f>
        <v>102</v>
      </c>
      <c r="G17" s="1170">
        <f>+[6]A07!AA24+[6]A07!AE24</f>
        <v>0</v>
      </c>
      <c r="H17" s="1133">
        <f t="shared" si="1"/>
        <v>236.36363636363637</v>
      </c>
      <c r="I17" s="1133">
        <f t="shared" si="2"/>
        <v>10.859251449657354</v>
      </c>
      <c r="J17" s="1133">
        <f t="shared" si="3"/>
        <v>5.4823405376910914</v>
      </c>
    </row>
    <row r="18" spans="1:10" s="361" customFormat="1" ht="23.25" customHeight="1">
      <c r="A18" s="599" t="s">
        <v>1125</v>
      </c>
      <c r="B18" s="600">
        <f>+'63'!B18</f>
        <v>1841</v>
      </c>
      <c r="C18" s="1170">
        <f>+[6]A07!B25</f>
        <v>4218</v>
      </c>
      <c r="D18" s="329">
        <f t="shared" si="0"/>
        <v>1281</v>
      </c>
      <c r="E18" s="1170">
        <f>+[6]A07!Y25+[6]A07!AC25</f>
        <v>807</v>
      </c>
      <c r="F18" s="1170">
        <f>+[6]A07!Z25+[6]A07!AD25</f>
        <v>474</v>
      </c>
      <c r="G18" s="1170">
        <f>+[6]A07!AA25+[6]A07!AE25</f>
        <v>0</v>
      </c>
      <c r="H18" s="1133">
        <f t="shared" si="1"/>
        <v>43.834872351982618</v>
      </c>
      <c r="I18" s="1133">
        <f t="shared" si="2"/>
        <v>30.369843527738265</v>
      </c>
      <c r="J18" s="1133">
        <f t="shared" si="3"/>
        <v>19.132290184921764</v>
      </c>
    </row>
    <row r="19" spans="1:10" s="361" customFormat="1" ht="23.25" customHeight="1">
      <c r="A19" s="599" t="s">
        <v>1126</v>
      </c>
      <c r="B19" s="600">
        <f>+'63'!B19</f>
        <v>39</v>
      </c>
      <c r="C19" s="1170">
        <f>+[6]A07!B26</f>
        <v>408</v>
      </c>
      <c r="D19" s="329">
        <f t="shared" si="0"/>
        <v>116</v>
      </c>
      <c r="E19" s="1170">
        <f>+[6]A07!Y26+[6]A07!AC26</f>
        <v>84</v>
      </c>
      <c r="F19" s="1170">
        <f>+[6]A07!Z26+[6]A07!AD26</f>
        <v>32</v>
      </c>
      <c r="G19" s="1170">
        <f>+[6]A07!AA26+[6]A07!AE26</f>
        <v>0</v>
      </c>
      <c r="H19" s="1133">
        <f t="shared" si="1"/>
        <v>215.38461538461539</v>
      </c>
      <c r="I19" s="1133">
        <f t="shared" si="2"/>
        <v>28.431372549019606</v>
      </c>
      <c r="J19" s="1133">
        <f t="shared" si="3"/>
        <v>20.588235294117645</v>
      </c>
    </row>
    <row r="20" spans="1:10" s="361" customFormat="1" ht="23.25" customHeight="1">
      <c r="A20" s="1073" t="s">
        <v>136</v>
      </c>
      <c r="B20" s="600">
        <f>+'63'!B20</f>
        <v>0</v>
      </c>
      <c r="C20" s="1170">
        <f>+[6]A07!B27</f>
        <v>521</v>
      </c>
      <c r="D20" s="329">
        <f>SUM(E20:G20)</f>
        <v>5</v>
      </c>
      <c r="E20" s="1170">
        <f>+[6]A07!Y27+[6]A07!AC27</f>
        <v>2</v>
      </c>
      <c r="F20" s="1170">
        <f>+[6]A07!Z27+[6]A07!AD27</f>
        <v>3</v>
      </c>
      <c r="G20" s="1170">
        <f>+[6]A07!AA27+[6]A07!AE27</f>
        <v>0</v>
      </c>
      <c r="H20" s="1133"/>
      <c r="I20" s="1133">
        <f t="shared" si="2"/>
        <v>0.95969289827255266</v>
      </c>
      <c r="J20" s="1133">
        <f t="shared" si="3"/>
        <v>0.38387715930902111</v>
      </c>
    </row>
    <row r="21" spans="1:10" s="361" customFormat="1" ht="23.25" customHeight="1">
      <c r="A21" s="599" t="s">
        <v>1127</v>
      </c>
      <c r="B21" s="600">
        <f>+'63'!B21</f>
        <v>0</v>
      </c>
      <c r="C21" s="1170">
        <f>+[6]A07!B28</f>
        <v>0</v>
      </c>
      <c r="D21" s="329">
        <f t="shared" si="0"/>
        <v>0</v>
      </c>
      <c r="E21" s="1170">
        <f>+[6]A07!Y28+[6]A07!AC28</f>
        <v>0</v>
      </c>
      <c r="F21" s="1170">
        <f>+[6]A07!Z28+[6]A07!AD28</f>
        <v>0</v>
      </c>
      <c r="G21" s="1170">
        <f>+[6]A07!AA28+[6]A07!AE28</f>
        <v>0</v>
      </c>
      <c r="H21" s="1133"/>
      <c r="I21" s="1133"/>
      <c r="J21" s="1133"/>
    </row>
    <row r="22" spans="1:10" s="361" customFormat="1" ht="23.25" customHeight="1">
      <c r="A22" s="599" t="s">
        <v>1128</v>
      </c>
      <c r="B22" s="600">
        <f>+'63'!B22</f>
        <v>49</v>
      </c>
      <c r="C22" s="1170">
        <f>+[6]A07!B29</f>
        <v>674</v>
      </c>
      <c r="D22" s="329">
        <f t="shared" si="0"/>
        <v>236</v>
      </c>
      <c r="E22" s="1170">
        <f>+[6]A07!Y29+[6]A07!AC29</f>
        <v>48</v>
      </c>
      <c r="F22" s="1170">
        <f>+[6]A07!Z29+[6]A07!AD29</f>
        <v>188</v>
      </c>
      <c r="G22" s="1170">
        <f>+[6]A07!AA29+[6]A07!AE29</f>
        <v>0</v>
      </c>
      <c r="H22" s="1133">
        <f t="shared" si="1"/>
        <v>97.959183673469383</v>
      </c>
      <c r="I22" s="1133">
        <f t="shared" si="2"/>
        <v>35.014836795252222</v>
      </c>
      <c r="J22" s="1133">
        <f t="shared" si="3"/>
        <v>7.1216617210682491</v>
      </c>
    </row>
    <row r="23" spans="1:10" s="361" customFormat="1" ht="23.25" customHeight="1">
      <c r="A23" s="599" t="s">
        <v>1129</v>
      </c>
      <c r="B23" s="600">
        <f>+'63'!B23</f>
        <v>1954</v>
      </c>
      <c r="C23" s="1170">
        <f>+[6]A07!B30</f>
        <v>7398</v>
      </c>
      <c r="D23" s="329">
        <f t="shared" si="0"/>
        <v>1692</v>
      </c>
      <c r="E23" s="1170">
        <f>+[6]A07!Y30+[6]A07!AC30</f>
        <v>1121</v>
      </c>
      <c r="F23" s="1170">
        <f>+[6]A07!Z30+[6]A07!AD30</f>
        <v>546</v>
      </c>
      <c r="G23" s="1170">
        <f>+[6]A07!AA30+[6]A07!AE30</f>
        <v>25</v>
      </c>
      <c r="H23" s="1133">
        <f t="shared" si="1"/>
        <v>57.369498464687815</v>
      </c>
      <c r="I23" s="1133">
        <f t="shared" si="2"/>
        <v>22.871046228710462</v>
      </c>
      <c r="J23" s="1133">
        <f t="shared" si="3"/>
        <v>15.152743984860773</v>
      </c>
    </row>
    <row r="24" spans="1:10" s="361" customFormat="1" ht="23.25" customHeight="1">
      <c r="A24" s="599" t="s">
        <v>1130</v>
      </c>
      <c r="B24" s="600">
        <f>+'63'!B24</f>
        <v>0</v>
      </c>
      <c r="C24" s="1170">
        <f>+[6]A07!B31</f>
        <v>0</v>
      </c>
      <c r="D24" s="329">
        <f t="shared" si="0"/>
        <v>0</v>
      </c>
      <c r="E24" s="1170">
        <f>+[6]A07!Y31+[6]A07!AC31</f>
        <v>0</v>
      </c>
      <c r="F24" s="1170">
        <f>+[6]A07!Z31+[6]A07!AD31</f>
        <v>0</v>
      </c>
      <c r="G24" s="1170">
        <f>+[6]A07!AA31+[6]A07!AE31</f>
        <v>0</v>
      </c>
      <c r="H24" s="1133"/>
      <c r="I24" s="1133"/>
      <c r="J24" s="1133"/>
    </row>
    <row r="25" spans="1:10" s="361" customFormat="1" ht="23.25" customHeight="1">
      <c r="A25" s="599" t="s">
        <v>1131</v>
      </c>
      <c r="B25" s="600">
        <f>+'63'!B25</f>
        <v>911</v>
      </c>
      <c r="C25" s="1170">
        <f>+[6]A07!B32</f>
        <v>4764</v>
      </c>
      <c r="D25" s="329">
        <f t="shared" si="0"/>
        <v>820</v>
      </c>
      <c r="E25" s="1170">
        <f>+[6]A07!Y32+[6]A07!AC32</f>
        <v>665</v>
      </c>
      <c r="F25" s="1170">
        <f>+[6]A07!Z32+[6]A07!AD32</f>
        <v>61</v>
      </c>
      <c r="G25" s="1170">
        <f>+[6]A07!AA32+[6]A07!AE32</f>
        <v>94</v>
      </c>
      <c r="H25" s="1133">
        <f t="shared" si="1"/>
        <v>72.996706915477489</v>
      </c>
      <c r="I25" s="1133">
        <f t="shared" si="2"/>
        <v>17.212426532325779</v>
      </c>
      <c r="J25" s="1133">
        <f t="shared" si="3"/>
        <v>13.958858102434929</v>
      </c>
    </row>
    <row r="26" spans="1:10" s="361" customFormat="1" ht="23.25" customHeight="1">
      <c r="A26" s="599" t="s">
        <v>1132</v>
      </c>
      <c r="B26" s="600">
        <f>+'63'!B26</f>
        <v>16</v>
      </c>
      <c r="C26" s="1170">
        <f>+[6]A07!B33</f>
        <v>0</v>
      </c>
      <c r="D26" s="329">
        <f t="shared" si="0"/>
        <v>0</v>
      </c>
      <c r="E26" s="1170">
        <f>+[6]A07!Y33+[6]A07!AC33</f>
        <v>0</v>
      </c>
      <c r="F26" s="1170">
        <f>+[6]A07!Z33+[6]A07!AD33</f>
        <v>0</v>
      </c>
      <c r="G26" s="1170">
        <f>+[6]A07!AA33+[6]A07!AE33</f>
        <v>0</v>
      </c>
      <c r="H26" s="1133"/>
      <c r="I26" s="1133"/>
      <c r="J26" s="1133"/>
    </row>
    <row r="27" spans="1:10" s="361" customFormat="1" ht="23.25" customHeight="1">
      <c r="A27" s="601" t="s">
        <v>1133</v>
      </c>
      <c r="B27" s="600">
        <f>+'63'!B27</f>
        <v>923</v>
      </c>
      <c r="C27" s="1170">
        <f>+[6]A07!B34</f>
        <v>1572</v>
      </c>
      <c r="D27" s="329">
        <f t="shared" si="0"/>
        <v>521</v>
      </c>
      <c r="E27" s="1170">
        <f>+[6]A07!Y34+[6]A07!AC34</f>
        <v>387</v>
      </c>
      <c r="F27" s="1170">
        <f>+[6]A07!Z34+[6]A07!AD34</f>
        <v>119</v>
      </c>
      <c r="G27" s="1170">
        <f>+[6]A07!AA34+[6]A07!AE34</f>
        <v>15</v>
      </c>
      <c r="H27" s="1133">
        <f t="shared" si="1"/>
        <v>41.928494041170097</v>
      </c>
      <c r="I27" s="1133">
        <f t="shared" si="2"/>
        <v>33.142493638676847</v>
      </c>
      <c r="J27" s="1133">
        <f t="shared" si="3"/>
        <v>24.618320610687022</v>
      </c>
    </row>
    <row r="28" spans="1:10" s="361" customFormat="1" ht="23.25" customHeight="1">
      <c r="A28" s="601" t="s">
        <v>1134</v>
      </c>
      <c r="B28" s="600">
        <f>+'63'!B28</f>
        <v>3082</v>
      </c>
      <c r="C28" s="1170">
        <f>+[6]A07!B35</f>
        <v>14587</v>
      </c>
      <c r="D28" s="329">
        <f t="shared" si="0"/>
        <v>3042</v>
      </c>
      <c r="E28" s="1170">
        <f>+[6]A07!Y35+[6]A07!AC35</f>
        <v>2520</v>
      </c>
      <c r="F28" s="1170">
        <f>+[6]A07!Z35+[6]A07!AD35</f>
        <v>514</v>
      </c>
      <c r="G28" s="1170">
        <f>+[6]A07!AA35+[6]A07!AE35</f>
        <v>8</v>
      </c>
      <c r="H28" s="1133">
        <f t="shared" si="1"/>
        <v>81.765087605451001</v>
      </c>
      <c r="I28" s="1133">
        <f t="shared" si="2"/>
        <v>20.854185233427025</v>
      </c>
      <c r="J28" s="1133">
        <f t="shared" si="3"/>
        <v>17.275656406389249</v>
      </c>
    </row>
    <row r="29" spans="1:10" s="361" customFormat="1" ht="23.25" customHeight="1">
      <c r="A29" s="599" t="s">
        <v>1135</v>
      </c>
      <c r="B29" s="600">
        <f>+'63'!B29</f>
        <v>0</v>
      </c>
      <c r="C29" s="1170">
        <f>+[6]A07!B36</f>
        <v>0</v>
      </c>
      <c r="D29" s="329">
        <f t="shared" si="0"/>
        <v>0</v>
      </c>
      <c r="E29" s="1170">
        <f>+[6]A07!Y36+[6]A07!AC36</f>
        <v>0</v>
      </c>
      <c r="F29" s="1170">
        <f>+[6]A07!Z36+[6]A07!AD36</f>
        <v>0</v>
      </c>
      <c r="G29" s="1170">
        <f>+[6]A07!AA36+[6]A07!AE36</f>
        <v>0</v>
      </c>
      <c r="H29" s="1133"/>
      <c r="I29" s="1133"/>
      <c r="J29" s="1133"/>
    </row>
    <row r="30" spans="1:10" s="361" customFormat="1" ht="23.25" customHeight="1">
      <c r="A30" s="599" t="s">
        <v>1136</v>
      </c>
      <c r="B30" s="600">
        <f>+'63'!B30</f>
        <v>114</v>
      </c>
      <c r="C30" s="1170">
        <f>+[6]A07!B37</f>
        <v>1087</v>
      </c>
      <c r="D30" s="329">
        <f t="shared" si="0"/>
        <v>60</v>
      </c>
      <c r="E30" s="1170">
        <f>+[6]A07!Y37+[6]A07!AC37</f>
        <v>40</v>
      </c>
      <c r="F30" s="1170">
        <f>+[6]A07!Z37+[6]A07!AD37</f>
        <v>20</v>
      </c>
      <c r="G30" s="1170">
        <f>+[6]A07!AA37+[6]A07!AE37</f>
        <v>0</v>
      </c>
      <c r="H30" s="1133">
        <f t="shared" si="1"/>
        <v>35.087719298245609</v>
      </c>
      <c r="I30" s="1133">
        <f t="shared" si="2"/>
        <v>5.5197792088316469</v>
      </c>
      <c r="J30" s="1133">
        <f t="shared" si="3"/>
        <v>3.6798528058877644</v>
      </c>
    </row>
    <row r="31" spans="1:10" s="361" customFormat="1" ht="23.25" customHeight="1">
      <c r="A31" s="599" t="s">
        <v>132</v>
      </c>
      <c r="B31" s="600">
        <f>+'63'!B31</f>
        <v>170</v>
      </c>
      <c r="C31" s="1170">
        <f>+[6]A07!B38</f>
        <v>712</v>
      </c>
      <c r="D31" s="329">
        <f>SUM(E31:G31)</f>
        <v>328</v>
      </c>
      <c r="E31" s="1170">
        <f>+[6]A07!Y38+[6]A07!AC38</f>
        <v>271</v>
      </c>
      <c r="F31" s="1170">
        <f>+[6]A07!Z38+[6]A07!AD38</f>
        <v>57</v>
      </c>
      <c r="G31" s="1170">
        <f>+[6]A07!AA38+[6]A07!AE38</f>
        <v>0</v>
      </c>
      <c r="H31" s="1133">
        <f t="shared" si="1"/>
        <v>159.41176470588238</v>
      </c>
      <c r="I31" s="1133">
        <f t="shared" si="2"/>
        <v>46.067415730337082</v>
      </c>
      <c r="J31" s="1133">
        <f t="shared" si="3"/>
        <v>38.061797752808992</v>
      </c>
    </row>
    <row r="32" spans="1:10" s="361" customFormat="1" ht="23.25" customHeight="1">
      <c r="A32" s="599" t="s">
        <v>1137</v>
      </c>
      <c r="B32" s="600">
        <f>+'63'!B32</f>
        <v>536</v>
      </c>
      <c r="C32" s="1170">
        <f>+[6]A07!B39</f>
        <v>0</v>
      </c>
      <c r="D32" s="329">
        <f>SUM(E32:G32)</f>
        <v>0</v>
      </c>
      <c r="E32" s="1170">
        <f>+[6]A07!Y39+[6]A07!AC39</f>
        <v>0</v>
      </c>
      <c r="F32" s="1170">
        <f>+[6]A07!Z39+[6]A07!AD39</f>
        <v>0</v>
      </c>
      <c r="G32" s="1170">
        <f>+[6]A07!AA39+[6]A07!AE39</f>
        <v>0</v>
      </c>
      <c r="H32" s="1133"/>
      <c r="I32" s="1133"/>
      <c r="J32" s="1133"/>
    </row>
    <row r="33" spans="1:10" s="361" customFormat="1" ht="23.25" customHeight="1">
      <c r="A33" s="599" t="s">
        <v>1138</v>
      </c>
      <c r="B33" s="600">
        <f>+'63'!B33</f>
        <v>0</v>
      </c>
      <c r="C33" s="1170">
        <f>+[6]A07!B40</f>
        <v>1217</v>
      </c>
      <c r="D33" s="329">
        <f>SUM(E33:G33)</f>
        <v>78</v>
      </c>
      <c r="E33" s="1170">
        <f>+[6]A07!Y40+[6]A07!AC40</f>
        <v>4</v>
      </c>
      <c r="F33" s="1170">
        <f>+[6]A07!Z40+[6]A07!AD40</f>
        <v>74</v>
      </c>
      <c r="G33" s="1170">
        <f>+[6]A07!AA40+[6]A07!AE40</f>
        <v>0</v>
      </c>
      <c r="H33" s="1133"/>
      <c r="I33" s="1133">
        <f t="shared" si="2"/>
        <v>6.4092029580936725</v>
      </c>
      <c r="J33" s="1133">
        <f t="shared" si="3"/>
        <v>0.32867707477403452</v>
      </c>
    </row>
    <row r="34" spans="1:10" s="361" customFormat="1" ht="23.25" customHeight="1">
      <c r="A34" s="599" t="s">
        <v>1139</v>
      </c>
      <c r="B34" s="600">
        <f>+'63'!B34</f>
        <v>0</v>
      </c>
      <c r="C34" s="1170">
        <f>+[6]A07!B41</f>
        <v>0</v>
      </c>
      <c r="D34" s="329">
        <f t="shared" ref="D34:D41" si="4">SUM(E34:G34)</f>
        <v>0</v>
      </c>
      <c r="E34" s="1170">
        <f>+[6]A07!Y41+[6]A07!AC41</f>
        <v>0</v>
      </c>
      <c r="F34" s="1170">
        <f>+[6]A07!Z41+[6]A07!AD41</f>
        <v>0</v>
      </c>
      <c r="G34" s="1170">
        <f>+[6]A07!AA41+[6]A07!AE41</f>
        <v>0</v>
      </c>
      <c r="H34" s="1133"/>
      <c r="I34" s="1133"/>
      <c r="J34" s="1133"/>
    </row>
    <row r="35" spans="1:10" s="361" customFormat="1" ht="23.25" customHeight="1">
      <c r="A35" s="599" t="s">
        <v>1140</v>
      </c>
      <c r="B35" s="600">
        <f>+'63'!B35</f>
        <v>0</v>
      </c>
      <c r="C35" s="1170">
        <f>+[6]A07!B42</f>
        <v>0</v>
      </c>
      <c r="D35" s="329">
        <f t="shared" si="4"/>
        <v>0</v>
      </c>
      <c r="E35" s="1170">
        <f>+[6]A07!Y42+[6]A07!AC42</f>
        <v>0</v>
      </c>
      <c r="F35" s="1170">
        <f>+[6]A07!Z42+[6]A07!AD42</f>
        <v>0</v>
      </c>
      <c r="G35" s="1170">
        <f>+[6]A07!AA42+[6]A07!AE42</f>
        <v>0</v>
      </c>
      <c r="H35" s="1133"/>
      <c r="I35" s="1133"/>
      <c r="J35" s="1133"/>
    </row>
    <row r="36" spans="1:10" s="361" customFormat="1" ht="23.25" customHeight="1">
      <c r="A36" s="599" t="s">
        <v>1141</v>
      </c>
      <c r="B36" s="600">
        <f>+'63'!B36</f>
        <v>12</v>
      </c>
      <c r="C36" s="1170">
        <f>+[6]A07!B43</f>
        <v>0</v>
      </c>
      <c r="D36" s="329">
        <f t="shared" si="4"/>
        <v>0</v>
      </c>
      <c r="E36" s="1170">
        <f>+[6]A07!Y43+[6]A07!AC43</f>
        <v>0</v>
      </c>
      <c r="F36" s="1170">
        <f>+[6]A07!Z43+[6]A07!AD43</f>
        <v>0</v>
      </c>
      <c r="G36" s="1170">
        <f>+[6]A07!AA43+[6]A07!AE43</f>
        <v>0</v>
      </c>
      <c r="H36" s="1133"/>
      <c r="I36" s="1133"/>
      <c r="J36" s="1133"/>
    </row>
    <row r="37" spans="1:10" s="361" customFormat="1" ht="23.25" customHeight="1">
      <c r="A37" s="599" t="s">
        <v>1142</v>
      </c>
      <c r="B37" s="600">
        <f>+'63'!B37</f>
        <v>743</v>
      </c>
      <c r="C37" s="1170">
        <f>+[6]A07!B44</f>
        <v>2853</v>
      </c>
      <c r="D37" s="329">
        <f t="shared" si="4"/>
        <v>716</v>
      </c>
      <c r="E37" s="1170">
        <f>+[6]A07!Y44+[6]A07!AC44</f>
        <v>560</v>
      </c>
      <c r="F37" s="1170">
        <f>+[6]A07!Z44+[6]A07!AD44</f>
        <v>153</v>
      </c>
      <c r="G37" s="1170">
        <f>+[6]A07!AA44+[6]A07!AE44</f>
        <v>3</v>
      </c>
      <c r="H37" s="1133">
        <f t="shared" si="1"/>
        <v>75.370121130551809</v>
      </c>
      <c r="I37" s="1133">
        <f t="shared" si="2"/>
        <v>25.096389765159483</v>
      </c>
      <c r="J37" s="1133">
        <f t="shared" si="3"/>
        <v>19.628461268839818</v>
      </c>
    </row>
    <row r="38" spans="1:10" s="361" customFormat="1" ht="23.25" customHeight="1">
      <c r="A38" s="599" t="s">
        <v>1143</v>
      </c>
      <c r="B38" s="600">
        <f>+'63'!B38</f>
        <v>0</v>
      </c>
      <c r="C38" s="1170">
        <f>+[6]A07!B45</f>
        <v>0</v>
      </c>
      <c r="D38" s="329">
        <f t="shared" si="4"/>
        <v>0</v>
      </c>
      <c r="E38" s="1170">
        <f>+[6]A07!Y45+[6]A07!AC45</f>
        <v>0</v>
      </c>
      <c r="F38" s="1170">
        <f>+[6]A07!Z45+[6]A07!AD45</f>
        <v>0</v>
      </c>
      <c r="G38" s="1170">
        <f>+[6]A07!AA45+[6]A07!AE45</f>
        <v>0</v>
      </c>
      <c r="H38" s="1133"/>
      <c r="I38" s="1133"/>
      <c r="J38" s="1133"/>
    </row>
    <row r="39" spans="1:10" s="361" customFormat="1" ht="23.25" customHeight="1">
      <c r="A39" s="599" t="s">
        <v>1144</v>
      </c>
      <c r="B39" s="600">
        <f>+'63'!B39</f>
        <v>0</v>
      </c>
      <c r="C39" s="1170">
        <f>+[6]A07!B46</f>
        <v>0</v>
      </c>
      <c r="D39" s="329">
        <f t="shared" si="4"/>
        <v>0</v>
      </c>
      <c r="E39" s="1170">
        <f>+[6]A07!Y46+[6]A07!AC46</f>
        <v>0</v>
      </c>
      <c r="F39" s="1170">
        <f>+[6]A07!Z46+[6]A07!AD46</f>
        <v>0</v>
      </c>
      <c r="G39" s="1170">
        <f>+[6]A07!AA46+[6]A07!AE46</f>
        <v>0</v>
      </c>
      <c r="H39" s="1133"/>
      <c r="I39" s="1133"/>
      <c r="J39" s="1133"/>
    </row>
    <row r="40" spans="1:10" s="361" customFormat="1" ht="23.25" customHeight="1">
      <c r="A40" s="599" t="s">
        <v>1145</v>
      </c>
      <c r="B40" s="600">
        <f>+'63'!B40</f>
        <v>1891</v>
      </c>
      <c r="C40" s="1170">
        <f>+[6]A07!B47</f>
        <v>6543</v>
      </c>
      <c r="D40" s="329">
        <f t="shared" si="4"/>
        <v>1424</v>
      </c>
      <c r="E40" s="1170">
        <f>+[6]A07!Y47+[6]A07!AC47</f>
        <v>1328</v>
      </c>
      <c r="F40" s="1170">
        <f>+[6]A07!Z47+[6]A07!AD47</f>
        <v>94</v>
      </c>
      <c r="G40" s="1170">
        <f>+[6]A07!AA47+[6]A07!AE47</f>
        <v>2</v>
      </c>
      <c r="H40" s="1133">
        <f t="shared" si="1"/>
        <v>70.22739291380222</v>
      </c>
      <c r="I40" s="1133">
        <f t="shared" si="2"/>
        <v>21.763716949411585</v>
      </c>
      <c r="J40" s="1133">
        <f t="shared" si="3"/>
        <v>20.296500076417544</v>
      </c>
    </row>
    <row r="41" spans="1:10" s="361" customFormat="1" ht="23.25" customHeight="1">
      <c r="A41" s="599" t="s">
        <v>1146</v>
      </c>
      <c r="B41" s="600">
        <f>+'63'!B41</f>
        <v>2933</v>
      </c>
      <c r="C41" s="1170">
        <f>+[6]A07!B48</f>
        <v>2884</v>
      </c>
      <c r="D41" s="329">
        <f t="shared" si="4"/>
        <v>706</v>
      </c>
      <c r="E41" s="1170">
        <f>+[6]A07!Y48+[6]A07!AC48</f>
        <v>605</v>
      </c>
      <c r="F41" s="1170">
        <f>+[6]A07!Z48+[6]A07!AD48</f>
        <v>101</v>
      </c>
      <c r="G41" s="1170">
        <f>+[6]A07!AA48+[6]A07!AE48</f>
        <v>0</v>
      </c>
      <c r="H41" s="1133">
        <f t="shared" si="1"/>
        <v>20.627344016365495</v>
      </c>
      <c r="I41" s="1133">
        <f t="shared" si="2"/>
        <v>24.47988904299584</v>
      </c>
      <c r="J41" s="1133">
        <f t="shared" si="3"/>
        <v>20.977808599167822</v>
      </c>
    </row>
    <row r="42" spans="1:10" s="361" customFormat="1" ht="23.25" customHeight="1">
      <c r="A42" s="599" t="s">
        <v>133</v>
      </c>
      <c r="B42" s="600">
        <f>+'63'!B42</f>
        <v>315</v>
      </c>
      <c r="C42" s="1170">
        <f>+[6]A07!B49</f>
        <v>5286</v>
      </c>
      <c r="D42" s="329">
        <f>SUM(E42:G42)</f>
        <v>1341</v>
      </c>
      <c r="E42" s="1170">
        <f>+[6]A07!Y49+[6]A07!AC49</f>
        <v>1155</v>
      </c>
      <c r="F42" s="1170">
        <f>+[6]A07!Z49+[6]A07!AD49</f>
        <v>186</v>
      </c>
      <c r="G42" s="1170">
        <f>+[6]A07!AA49+[6]A07!AE49</f>
        <v>0</v>
      </c>
      <c r="H42" s="1133">
        <f t="shared" si="1"/>
        <v>366.66666666666663</v>
      </c>
      <c r="I42" s="1133">
        <f t="shared" si="2"/>
        <v>25.368898978433595</v>
      </c>
      <c r="J42" s="1133">
        <f t="shared" si="3"/>
        <v>21.850170261066971</v>
      </c>
    </row>
    <row r="43" spans="1:10" s="361" customFormat="1" ht="23.25" customHeight="1">
      <c r="A43" s="1175" t="s">
        <v>1450</v>
      </c>
      <c r="B43" s="600">
        <f>+'63'!B43</f>
        <v>254</v>
      </c>
      <c r="C43" s="1170">
        <f>+[6]A07!B50</f>
        <v>441</v>
      </c>
      <c r="D43" s="1170"/>
      <c r="E43" s="1170">
        <f>+[6]A07!Y50+[6]A07!AC50</f>
        <v>0</v>
      </c>
      <c r="F43" s="1170">
        <f>+[6]A07!Z50+[6]A07!AD50</f>
        <v>0</v>
      </c>
      <c r="G43" s="1170">
        <f>+[6]A07!AA50+[6]A07!AE50</f>
        <v>0</v>
      </c>
      <c r="H43" s="1133"/>
      <c r="I43" s="1133"/>
      <c r="J43" s="1133"/>
    </row>
    <row r="44" spans="1:10" s="361" customFormat="1" ht="23.25" customHeight="1">
      <c r="A44" s="599" t="s">
        <v>1147</v>
      </c>
      <c r="B44" s="600">
        <f>+'63'!B44</f>
        <v>8736</v>
      </c>
      <c r="C44" s="1170">
        <f>+[6]A07!B51</f>
        <v>4392</v>
      </c>
      <c r="D44" s="329">
        <f>SUM(E44:G44)</f>
        <v>1064</v>
      </c>
      <c r="E44" s="1170">
        <f>+[6]A07!Y51+[6]A07!AC51</f>
        <v>429</v>
      </c>
      <c r="F44" s="1170">
        <f>+[6]A07!Z51+[6]A07!AD51</f>
        <v>298</v>
      </c>
      <c r="G44" s="1170">
        <f>+[6]A07!AA51+[6]A07!AE51</f>
        <v>337</v>
      </c>
      <c r="H44" s="1133">
        <f t="shared" si="1"/>
        <v>4.9107142857142856</v>
      </c>
      <c r="I44" s="1133">
        <f t="shared" si="2"/>
        <v>24.225865209471767</v>
      </c>
      <c r="J44" s="1133">
        <f t="shared" si="3"/>
        <v>9.7677595628415297</v>
      </c>
    </row>
    <row r="45" spans="1:10" s="361" customFormat="1" ht="23.25" customHeight="1">
      <c r="A45" s="599" t="s">
        <v>134</v>
      </c>
      <c r="B45" s="600">
        <f>+'63'!B45</f>
        <v>354</v>
      </c>
      <c r="C45" s="1170">
        <f>+[6]A07!B52</f>
        <v>0</v>
      </c>
      <c r="D45" s="329">
        <f t="shared" ref="D45:D50" si="5">SUM(E45:G45)</f>
        <v>0</v>
      </c>
      <c r="E45" s="1170">
        <f>+[6]A07!Y52+[6]A07!AC52</f>
        <v>0</v>
      </c>
      <c r="F45" s="1170">
        <f>+[6]A07!Z52+[6]A07!AD52</f>
        <v>0</v>
      </c>
      <c r="G45" s="1170">
        <f>+[6]A07!AA52+[6]A07!AE52</f>
        <v>0</v>
      </c>
      <c r="H45" s="1133"/>
      <c r="I45" s="1133"/>
      <c r="J45" s="1133"/>
    </row>
    <row r="46" spans="1:10" s="361" customFormat="1" ht="23.25" customHeight="1">
      <c r="A46" s="599" t="s">
        <v>1148</v>
      </c>
      <c r="B46" s="600">
        <f>+'63'!B46</f>
        <v>2758</v>
      </c>
      <c r="C46" s="1170">
        <f>+[6]A07!B53</f>
        <v>2471</v>
      </c>
      <c r="D46" s="329">
        <f t="shared" si="5"/>
        <v>888</v>
      </c>
      <c r="E46" s="1170">
        <f>+[6]A07!Y53+[6]A07!AC53</f>
        <v>129</v>
      </c>
      <c r="F46" s="1170">
        <f>+[6]A07!Z53+[6]A07!AD53</f>
        <v>335</v>
      </c>
      <c r="G46" s="1170">
        <f>+[6]A07!AA53+[6]A07!AE53</f>
        <v>424</v>
      </c>
      <c r="H46" s="1133">
        <f t="shared" si="1"/>
        <v>4.6773023930384339</v>
      </c>
      <c r="I46" s="1133">
        <f t="shared" si="2"/>
        <v>35.936867664912988</v>
      </c>
      <c r="J46" s="1133">
        <f t="shared" si="3"/>
        <v>5.2205584783488472</v>
      </c>
    </row>
    <row r="47" spans="1:10" s="361" customFormat="1" ht="23.25" customHeight="1">
      <c r="A47" s="599" t="s">
        <v>1149</v>
      </c>
      <c r="B47" s="600">
        <f>+'63'!B47</f>
        <v>8</v>
      </c>
      <c r="C47" s="1170">
        <f>+[6]A07!B54</f>
        <v>0</v>
      </c>
      <c r="D47" s="329">
        <f t="shared" si="5"/>
        <v>0</v>
      </c>
      <c r="E47" s="1170">
        <f>+[6]A07!Y54+[6]A07!AC54</f>
        <v>0</v>
      </c>
      <c r="F47" s="1170">
        <f>+[6]A07!Z54+[6]A07!AD54</f>
        <v>0</v>
      </c>
      <c r="G47" s="1170">
        <f>+[6]A07!AA54+[6]A07!AE54</f>
        <v>0</v>
      </c>
      <c r="H47" s="1133"/>
      <c r="I47" s="1133"/>
      <c r="J47" s="1133"/>
    </row>
    <row r="48" spans="1:10" s="361" customFormat="1" ht="23.25" customHeight="1">
      <c r="A48" s="599" t="s">
        <v>1150</v>
      </c>
      <c r="B48" s="600">
        <f>+'63'!B48</f>
        <v>2740</v>
      </c>
      <c r="C48" s="1170">
        <f>+[6]A07!B55</f>
        <v>10892</v>
      </c>
      <c r="D48" s="329">
        <f t="shared" si="5"/>
        <v>1590</v>
      </c>
      <c r="E48" s="1170">
        <f>+[6]A07!Y55+[6]A07!AC55</f>
        <v>1085</v>
      </c>
      <c r="F48" s="1170">
        <f>+[6]A07!Z55+[6]A07!AD55</f>
        <v>493</v>
      </c>
      <c r="G48" s="1170">
        <f>+[6]A07!AA55+[6]A07!AE55</f>
        <v>12</v>
      </c>
      <c r="H48" s="1133">
        <f t="shared" si="1"/>
        <v>39.598540145985403</v>
      </c>
      <c r="I48" s="1133">
        <f t="shared" si="2"/>
        <v>14.597869996327582</v>
      </c>
      <c r="J48" s="1133">
        <f t="shared" si="3"/>
        <v>9.9614395886889451</v>
      </c>
    </row>
    <row r="49" spans="1:10" s="361" customFormat="1" ht="23.25" customHeight="1">
      <c r="A49" s="599" t="s">
        <v>1151</v>
      </c>
      <c r="B49" s="600">
        <f>+'63'!B49</f>
        <v>1302</v>
      </c>
      <c r="C49" s="1170">
        <f>+[6]A07!B56</f>
        <v>4039</v>
      </c>
      <c r="D49" s="329">
        <f t="shared" si="5"/>
        <v>744</v>
      </c>
      <c r="E49" s="1170">
        <f>+[6]A07!Y56+[6]A07!AC56</f>
        <v>454</v>
      </c>
      <c r="F49" s="1170">
        <f>+[6]A07!Z56+[6]A07!AD56</f>
        <v>288</v>
      </c>
      <c r="G49" s="1170">
        <f>+[6]A07!AA56+[6]A07!AE56</f>
        <v>2</v>
      </c>
      <c r="H49" s="1133">
        <f t="shared" si="1"/>
        <v>34.869431643625191</v>
      </c>
      <c r="I49" s="1133">
        <f t="shared" si="2"/>
        <v>18.420401089378561</v>
      </c>
      <c r="J49" s="1133">
        <f t="shared" si="3"/>
        <v>11.240406041099282</v>
      </c>
    </row>
    <row r="50" spans="1:10" s="361" customFormat="1" ht="23.25" customHeight="1">
      <c r="A50" s="599" t="s">
        <v>1152</v>
      </c>
      <c r="B50" s="600">
        <f>+'63'!B50</f>
        <v>0</v>
      </c>
      <c r="C50" s="1170">
        <f>+[6]A07!B57</f>
        <v>0</v>
      </c>
      <c r="D50" s="329">
        <f t="shared" si="5"/>
        <v>0</v>
      </c>
      <c r="E50" s="1170">
        <f>+[6]A07!Y57+[6]A07!AC57</f>
        <v>0</v>
      </c>
      <c r="F50" s="1170">
        <f>+[6]A07!Z57+[6]A07!AD57</f>
        <v>0</v>
      </c>
      <c r="G50" s="1170">
        <f>+[6]A07!AA57+[6]A07!AE57</f>
        <v>0</v>
      </c>
      <c r="H50" s="1133"/>
      <c r="I50" s="1133"/>
      <c r="J50" s="1133"/>
    </row>
    <row r="51" spans="1:10" ht="23.25" customHeight="1">
      <c r="A51" s="600" t="s">
        <v>571</v>
      </c>
      <c r="B51" s="329">
        <f t="shared" ref="B51:G51" si="6">SUM(B5:B50)</f>
        <v>38035</v>
      </c>
      <c r="C51" s="329">
        <f t="shared" si="6"/>
        <v>121466</v>
      </c>
      <c r="D51" s="329">
        <f t="shared" si="6"/>
        <v>23120</v>
      </c>
      <c r="E51" s="329">
        <f t="shared" si="6"/>
        <v>15775</v>
      </c>
      <c r="F51" s="329">
        <f t="shared" si="6"/>
        <v>6346</v>
      </c>
      <c r="G51" s="329">
        <f t="shared" si="6"/>
        <v>999</v>
      </c>
      <c r="H51" s="1133">
        <f t="shared" si="1"/>
        <v>41.474957276192981</v>
      </c>
      <c r="I51" s="1133">
        <f t="shared" si="2"/>
        <v>19.034133008413878</v>
      </c>
      <c r="J51" s="1133">
        <f t="shared" si="3"/>
        <v>12.987173365386198</v>
      </c>
    </row>
    <row r="52" spans="1:10">
      <c r="A52" s="602"/>
    </row>
    <row r="53" spans="1:10">
      <c r="A53" s="602"/>
      <c r="B53" s="419"/>
      <c r="C53" s="1080"/>
    </row>
    <row r="54" spans="1:10">
      <c r="A54" s="602"/>
      <c r="B54" s="419"/>
    </row>
    <row r="55" spans="1:10">
      <c r="A55" s="602"/>
    </row>
    <row r="56" spans="1:10">
      <c r="A56" s="602"/>
    </row>
  </sheetData>
  <mergeCells count="3">
    <mergeCell ref="D3:G3"/>
    <mergeCell ref="H3:J3"/>
    <mergeCell ref="A1:J1"/>
  </mergeCells>
  <phoneticPr fontId="19" type="noConversion"/>
  <pageMargins left="0.85" right="0.19685039370078741" top="0.63" bottom="0.78740157480314965" header="0" footer="0"/>
  <pageSetup paperSize="5" scale="80" orientation="portrait" horizontalDpi="300" verticalDpi="300" r:id="rId1"/>
  <headerFooter alignWithMargins="0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6"/>
  <sheetViews>
    <sheetView topLeftCell="A28" workbookViewId="0">
      <selection activeCell="F13" sqref="F13"/>
    </sheetView>
  </sheetViews>
  <sheetFormatPr baseColWidth="10" defaultRowHeight="12.75"/>
  <cols>
    <col min="1" max="1" width="21" style="439" customWidth="1"/>
    <col min="2" max="2" width="16.7109375" style="593" customWidth="1"/>
    <col min="3" max="3" width="15" style="593" customWidth="1"/>
    <col min="4" max="4" width="13.85546875" style="593" customWidth="1"/>
    <col min="5" max="5" width="14.42578125" style="593" customWidth="1"/>
    <col min="6" max="6" width="13" customWidth="1"/>
    <col min="7" max="7" width="13.140625" customWidth="1"/>
  </cols>
  <sheetData>
    <row r="1" spans="1:8" ht="30" customHeight="1">
      <c r="A1" s="1263" t="s">
        <v>1452</v>
      </c>
      <c r="B1" s="1264"/>
      <c r="C1" s="1264"/>
      <c r="D1" s="1264"/>
      <c r="E1" s="1264"/>
      <c r="F1" s="1264"/>
      <c r="G1" s="1264"/>
    </row>
    <row r="2" spans="1:8">
      <c r="A2"/>
      <c r="B2"/>
      <c r="C2"/>
      <c r="D2"/>
      <c r="E2"/>
    </row>
    <row r="3" spans="1:8" ht="13.5" thickBot="1">
      <c r="A3"/>
      <c r="B3"/>
      <c r="C3"/>
      <c r="D3"/>
      <c r="E3"/>
    </row>
    <row r="4" spans="1:8" ht="20.25" customHeight="1" thickBot="1">
      <c r="A4" s="1105"/>
      <c r="B4" s="1265" t="s">
        <v>1016</v>
      </c>
      <c r="C4" s="1265"/>
      <c r="D4" s="1266"/>
      <c r="E4" s="1267" t="s">
        <v>1328</v>
      </c>
      <c r="F4" s="1265"/>
      <c r="G4" s="1266"/>
    </row>
    <row r="5" spans="1:8" s="361" customFormat="1" ht="24" customHeight="1" thickBot="1">
      <c r="A5" s="1107" t="s">
        <v>926</v>
      </c>
      <c r="B5" s="1106" t="s">
        <v>1326</v>
      </c>
      <c r="C5" s="1103" t="s">
        <v>1329</v>
      </c>
      <c r="D5" s="1104" t="s">
        <v>1327</v>
      </c>
      <c r="E5" s="1102" t="s">
        <v>1326</v>
      </c>
      <c r="F5" s="1103" t="s">
        <v>1330</v>
      </c>
      <c r="G5" s="1104" t="s">
        <v>1327</v>
      </c>
      <c r="H5" s="595"/>
    </row>
    <row r="6" spans="1:8" s="361" customFormat="1" ht="23.25" customHeight="1">
      <c r="A6" s="499" t="s">
        <v>887</v>
      </c>
      <c r="B6" s="1109">
        <f>+'63'!E51+'63'!F51</f>
        <v>3437</v>
      </c>
      <c r="C6" s="1110">
        <f>+'67'!H9</f>
        <v>20601</v>
      </c>
      <c r="D6" s="1111">
        <f>(1-B6/C6)*100</f>
        <v>83.316343866802583</v>
      </c>
      <c r="E6" s="1097">
        <f>+'63'!F$65</f>
        <v>527</v>
      </c>
      <c r="F6" s="1110">
        <f>+[7]A09!$D$11+[7]A09!$D$12+[7]A09!$D$15+[7]A09!$D$16+[8]A09!$D$11+[8]A09!$D$12+[8]A09!$D$15+[8]A09!$D$16+[9]A09!$D$11+[9]A09!$D$12+[9]A09!$D$15+[9]A09!$D$16</f>
        <v>11140</v>
      </c>
      <c r="G6" s="1111">
        <f>(1-E6/F6)*100</f>
        <v>95.269299820466784</v>
      </c>
      <c r="H6" s="1108"/>
    </row>
    <row r="7" spans="1:8" s="361" customFormat="1" ht="23.25" customHeight="1">
      <c r="A7" s="499" t="s">
        <v>888</v>
      </c>
      <c r="B7" s="1097">
        <f>+'63'!G51+'63'!H51</f>
        <v>3295</v>
      </c>
      <c r="C7" s="336">
        <f>+'67'!H10</f>
        <v>17917</v>
      </c>
      <c r="D7" s="1098">
        <f>(1-B7/C7)*100</f>
        <v>81.609644471730761</v>
      </c>
      <c r="E7" s="1097">
        <f>+'63'!H$65</f>
        <v>677.1</v>
      </c>
      <c r="F7" s="336">
        <f>+[10]A09!$D$11+[10]A09!$D$12+[10]A09!$D$15+[10]A09!$D$16</f>
        <v>12307</v>
      </c>
      <c r="G7" s="1098">
        <f>(1-E7/F7)*100</f>
        <v>94.498253026732755</v>
      </c>
    </row>
    <row r="8" spans="1:8" s="361" customFormat="1" ht="23.25" customHeight="1">
      <c r="A8" s="499" t="s">
        <v>890</v>
      </c>
      <c r="B8" s="1097">
        <f>+'63'!M51+'63'!N51</f>
        <v>1881</v>
      </c>
      <c r="C8" s="336">
        <f>+'67'!H12</f>
        <v>17232</v>
      </c>
      <c r="D8" s="1098">
        <f t="shared" ref="D8:D19" si="0">(1-B8/C8)*100</f>
        <v>89.084261838440113</v>
      </c>
      <c r="E8" s="1097">
        <f>+'63'!N$65</f>
        <v>324</v>
      </c>
      <c r="F8" s="336">
        <f>+[11]A09!$D$11+[11]A09!$D$12+[11]A09!$D$15+[11]A09!$D$16+[12]A09!$D$11+[12]A09!$D$12+[12]A09!$D$15+[12]A09!$D$16+[13]A09!$D$11+[13]A09!$D$12+[13]A09!$D$15+[13]A09!$D$16</f>
        <v>10865</v>
      </c>
      <c r="G8" s="1098">
        <f t="shared" ref="G8:G19" si="1">(1-E8/F8)*100</f>
        <v>97.017947537965938</v>
      </c>
    </row>
    <row r="9" spans="1:8" s="361" customFormat="1" ht="23.25" customHeight="1">
      <c r="A9" s="499" t="s">
        <v>892</v>
      </c>
      <c r="B9" s="1097">
        <f>+'63'!I51+'63'!J51</f>
        <v>2222</v>
      </c>
      <c r="C9" s="336">
        <f>+'67'!H13</f>
        <v>14082</v>
      </c>
      <c r="D9" s="1098">
        <f t="shared" si="0"/>
        <v>84.220991336457885</v>
      </c>
      <c r="E9" s="1097">
        <f>+'63'!J$65</f>
        <v>304</v>
      </c>
      <c r="F9" s="336">
        <f>+[14]A09!$D$11+[14]A09!$D$12+[14]A09!$D$15+[14]A09!$D$16+[15]A09!$D$11+[15]A09!$D$12+[15]A09!$D$15+[15]A09!$D$16</f>
        <v>5345</v>
      </c>
      <c r="G9" s="1098">
        <f t="shared" si="1"/>
        <v>94.312441534144071</v>
      </c>
    </row>
    <row r="10" spans="1:8" s="361" customFormat="1" ht="23.25" customHeight="1">
      <c r="A10" s="499" t="s">
        <v>893</v>
      </c>
      <c r="B10" s="1097">
        <f>+'63'!K51+'63'!L51</f>
        <v>1849</v>
      </c>
      <c r="C10" s="336">
        <f>+'67'!H14</f>
        <v>12849</v>
      </c>
      <c r="D10" s="1098">
        <f t="shared" si="0"/>
        <v>85.609775079772746</v>
      </c>
      <c r="E10" s="1097">
        <f>+'63'!L$65</f>
        <v>403</v>
      </c>
      <c r="F10" s="336">
        <f>+[16]A09!$D$11+[16]A09!$D$12+[16]A09!$D$15+[16]A09!$D$16</f>
        <v>8771</v>
      </c>
      <c r="G10" s="1098">
        <f t="shared" si="1"/>
        <v>95.405312963174097</v>
      </c>
    </row>
    <row r="11" spans="1:8" s="361" customFormat="1" ht="23.25" customHeight="1">
      <c r="A11" s="499" t="s">
        <v>895</v>
      </c>
      <c r="B11" s="1097">
        <f>+'63'!Q51+'63'!R51</f>
        <v>4615</v>
      </c>
      <c r="C11" s="336">
        <f>+'67'!H16</f>
        <v>23755</v>
      </c>
      <c r="D11" s="1098">
        <f t="shared" si="0"/>
        <v>80.572511050305195</v>
      </c>
      <c r="E11" s="1097">
        <f>+'63'!R$65</f>
        <v>829</v>
      </c>
      <c r="F11" s="336">
        <f>+[17]A09!$D$11+[17]A09!$D$12+[17]A09!$D$15+[17]A09!$D$16</f>
        <v>15391</v>
      </c>
      <c r="G11" s="1098">
        <f t="shared" si="1"/>
        <v>94.613735299850561</v>
      </c>
    </row>
    <row r="12" spans="1:8" s="361" customFormat="1" ht="23.25" customHeight="1">
      <c r="A12" s="499" t="s">
        <v>896</v>
      </c>
      <c r="B12" s="1097">
        <f>+'63'!S51+'63'!T51</f>
        <v>6738</v>
      </c>
      <c r="C12" s="336">
        <f>+'67'!H17</f>
        <v>41576</v>
      </c>
      <c r="D12" s="1098">
        <f t="shared" si="0"/>
        <v>83.793534731575917</v>
      </c>
      <c r="E12" s="1097">
        <f>+'63'!T$65</f>
        <v>1009</v>
      </c>
      <c r="F12" s="336">
        <f>+[18]A09!$D$11+[18]A09!$D$12+[18]A09!$D$15+[18]A09!$D$16+[19]A09!$D$11+[19]A09!$D$12+[19]A09!$D$15+[19]A09!$D$16</f>
        <v>20064</v>
      </c>
      <c r="G12" s="1098">
        <f t="shared" si="1"/>
        <v>94.971092503987236</v>
      </c>
    </row>
    <row r="13" spans="1:8" s="361" customFormat="1" ht="23.25" customHeight="1">
      <c r="A13" s="499" t="s">
        <v>897</v>
      </c>
      <c r="B13" s="1097">
        <f>+'63'!O51+'63'!P51</f>
        <v>924</v>
      </c>
      <c r="C13" s="336">
        <f>+'67'!H18</f>
        <v>8370</v>
      </c>
      <c r="D13" s="1098">
        <f t="shared" si="0"/>
        <v>88.960573476702507</v>
      </c>
      <c r="E13" s="1097">
        <f>+'63'!P$65</f>
        <v>132</v>
      </c>
      <c r="F13" s="336">
        <f>+[20]A09!$D$11+[20]A09!$D$12+[20]A09!$D$15+[20]A09!$D$16</f>
        <v>4722</v>
      </c>
      <c r="G13" s="1098">
        <f t="shared" si="1"/>
        <v>97.204574332909786</v>
      </c>
    </row>
    <row r="14" spans="1:8" s="361" customFormat="1" ht="23.25" customHeight="1">
      <c r="A14" s="499" t="s">
        <v>898</v>
      </c>
      <c r="B14" s="1097">
        <f>+'63'!AA51+'63'!AB51</f>
        <v>3197</v>
      </c>
      <c r="C14" s="336">
        <f>+'67'!H20</f>
        <v>20885</v>
      </c>
      <c r="D14" s="1098">
        <f t="shared" si="0"/>
        <v>84.692362939909032</v>
      </c>
      <c r="E14" s="1097">
        <f>+'63'!AB$65</f>
        <v>314</v>
      </c>
      <c r="F14" s="336">
        <f>+[21]A09!$D$11+[21]A09!$D$12+[21]A09!$D$15+[21]A09!$D$16+[22]A09!$D$11+[22]A09!$D$12+[22]A09!$D$15+[22]A09!$D$16</f>
        <v>7759</v>
      </c>
      <c r="G14" s="1098">
        <f t="shared" si="1"/>
        <v>95.953086737981693</v>
      </c>
    </row>
    <row r="15" spans="1:8" s="361" customFormat="1" ht="23.25" customHeight="1">
      <c r="A15" s="499" t="s">
        <v>899</v>
      </c>
      <c r="B15" s="1097">
        <f>+'63'!AC51+'63'!AD51</f>
        <v>2328</v>
      </c>
      <c r="C15" s="336">
        <f>+'67'!H23</f>
        <v>16912</v>
      </c>
      <c r="D15" s="1098">
        <f t="shared" si="0"/>
        <v>86.234626300851474</v>
      </c>
      <c r="E15" s="1097">
        <f>+'63'!AD$65</f>
        <v>353</v>
      </c>
      <c r="F15" s="336">
        <f>+[23]A09!$D$11+[23]A09!$D$12+[23]A09!$D$15+[23]A09!$D$16+[24]A09!$D$11+[24]A09!$D$12+[24]A09!$D$15+[24]A09!$D$16+[25]A09!$D$11+[25]A09!$D$12+[25]A09!$D$15+[25]A09!$D$16</f>
        <v>8853</v>
      </c>
      <c r="G15" s="1098">
        <f t="shared" si="1"/>
        <v>96.012651078730372</v>
      </c>
    </row>
    <row r="16" spans="1:8" s="361" customFormat="1" ht="23.25" customHeight="1">
      <c r="A16" s="499" t="s">
        <v>901</v>
      </c>
      <c r="B16" s="1097">
        <f>+'63'!Y51+'63'!Z51</f>
        <v>1365</v>
      </c>
      <c r="C16" s="336">
        <f>+'67'!H24</f>
        <v>13206</v>
      </c>
      <c r="D16" s="1098">
        <f t="shared" si="0"/>
        <v>89.663789186733297</v>
      </c>
      <c r="E16" s="1097">
        <f>+'63'!Z$65</f>
        <v>87</v>
      </c>
      <c r="F16" s="336">
        <f>+[23]A09!$D$11+[23]A09!$D$12+[23]A09!$D$15+[23]A09!$D$16</f>
        <v>7476</v>
      </c>
      <c r="G16" s="1098">
        <f t="shared" si="1"/>
        <v>98.836276083467084</v>
      </c>
    </row>
    <row r="17" spans="1:7" s="361" customFormat="1" ht="23.25" customHeight="1">
      <c r="A17" s="499" t="s">
        <v>1325</v>
      </c>
      <c r="B17" s="1097">
        <f>+'63'!W51+'63'!X51</f>
        <v>3915</v>
      </c>
      <c r="C17" s="336">
        <f>+'67'!H25</f>
        <v>24617</v>
      </c>
      <c r="D17" s="1098">
        <f t="shared" si="0"/>
        <v>84.096356176625903</v>
      </c>
      <c r="E17" s="1097">
        <f>+'63'!X$65</f>
        <v>542</v>
      </c>
      <c r="F17" s="336">
        <f>+[26]A09!$D$11+[26]A09!$D$12+[26]A09!$D$15+[26]A09!$D$16</f>
        <v>13244</v>
      </c>
      <c r="G17" s="1098">
        <f t="shared" si="1"/>
        <v>95.907580791301712</v>
      </c>
    </row>
    <row r="18" spans="1:7" s="361" customFormat="1" ht="23.25" customHeight="1">
      <c r="A18" s="499" t="s">
        <v>903</v>
      </c>
      <c r="B18" s="1097">
        <f>+'63'!U51+'63'!V51</f>
        <v>2269</v>
      </c>
      <c r="C18" s="336">
        <f>+'67'!H27</f>
        <v>15761</v>
      </c>
      <c r="D18" s="1098">
        <f t="shared" si="0"/>
        <v>85.603705348645391</v>
      </c>
      <c r="E18" s="1097">
        <f>+'63'!V$65</f>
        <v>282</v>
      </c>
      <c r="F18" s="336">
        <f>+[27]A09!$D$11+[27]A09!$D$12+[27]A09!$D$15+[27]A09!$D$16+[28]A09!$D$11+[28]A09!$D$12+[28]A09!$D$15+[28]A09!$D$16</f>
        <v>7716</v>
      </c>
      <c r="G18" s="1098">
        <f t="shared" si="1"/>
        <v>96.345256609642306</v>
      </c>
    </row>
    <row r="19" spans="1:7" s="361" customFormat="1" ht="23.25" customHeight="1" thickBot="1">
      <c r="A19" s="1096" t="s">
        <v>571</v>
      </c>
      <c r="B19" s="1099">
        <f>SUM(B6:B18)</f>
        <v>38035</v>
      </c>
      <c r="C19" s="1100">
        <f>SUM(C6:C18)</f>
        <v>247763</v>
      </c>
      <c r="D19" s="1101">
        <f t="shared" si="0"/>
        <v>84.648635994882198</v>
      </c>
      <c r="E19" s="1099">
        <f>SUM(E6:E18)</f>
        <v>5783.1</v>
      </c>
      <c r="F19" s="1100">
        <f>SUM(F6:F18)</f>
        <v>133653</v>
      </c>
      <c r="G19" s="1101">
        <f t="shared" si="1"/>
        <v>95.673048865345336</v>
      </c>
    </row>
    <row r="20" spans="1:7" s="361" customFormat="1" ht="23.25" customHeight="1">
      <c r="A20" s="1114" t="s">
        <v>1331</v>
      </c>
      <c r="B20" s="336"/>
      <c r="C20" s="336"/>
      <c r="D20" s="1113"/>
      <c r="E20" s="336"/>
      <c r="F20" s="336"/>
      <c r="G20" s="1113"/>
    </row>
    <row r="21" spans="1:7" s="361" customFormat="1" ht="23.25" customHeight="1">
      <c r="A21" s="1112"/>
      <c r="B21" s="336"/>
      <c r="C21" s="336"/>
      <c r="D21" s="1113"/>
      <c r="E21" s="336"/>
      <c r="F21" s="336"/>
      <c r="G21" s="1113"/>
    </row>
    <row r="22" spans="1:7" s="361" customFormat="1" ht="23.25" customHeight="1">
      <c r="A22"/>
      <c r="B22"/>
      <c r="C22" s="119"/>
      <c r="D22"/>
      <c r="E22"/>
      <c r="F22"/>
    </row>
    <row r="23" spans="1:7" s="361" customFormat="1" ht="23.25" customHeight="1">
      <c r="A23"/>
      <c r="B23"/>
      <c r="C23"/>
      <c r="D23"/>
      <c r="E23"/>
      <c r="F23"/>
    </row>
    <row r="24" spans="1:7" s="361" customFormat="1" ht="23.25" customHeight="1">
      <c r="A24"/>
      <c r="B24"/>
      <c r="C24"/>
      <c r="D24"/>
      <c r="E24"/>
      <c r="F24"/>
    </row>
    <row r="25" spans="1:7" s="361" customFormat="1" ht="23.25" customHeight="1">
      <c r="A25"/>
      <c r="B25"/>
      <c r="C25"/>
      <c r="D25"/>
      <c r="E25"/>
      <c r="F25"/>
    </row>
    <row r="26" spans="1:7" s="361" customFormat="1" ht="23.25" customHeight="1">
      <c r="A26"/>
      <c r="B26"/>
      <c r="C26"/>
      <c r="D26"/>
      <c r="E26"/>
      <c r="F26"/>
    </row>
    <row r="27" spans="1:7" s="361" customFormat="1" ht="23.25" customHeight="1">
      <c r="A27"/>
      <c r="B27"/>
      <c r="C27"/>
      <c r="D27"/>
      <c r="E27"/>
      <c r="F27"/>
    </row>
    <row r="28" spans="1:7" s="361" customFormat="1" ht="23.25" customHeight="1">
      <c r="A28"/>
      <c r="B28"/>
      <c r="C28"/>
      <c r="D28"/>
      <c r="E28"/>
      <c r="F28"/>
    </row>
    <row r="29" spans="1:7" s="361" customFormat="1" ht="23.25" customHeight="1">
      <c r="A29"/>
      <c r="B29"/>
      <c r="C29"/>
      <c r="D29"/>
      <c r="E29"/>
      <c r="F29"/>
    </row>
    <row r="30" spans="1:7" s="361" customFormat="1" ht="23.25" customHeight="1">
      <c r="A30"/>
      <c r="B30"/>
      <c r="C30"/>
      <c r="D30"/>
      <c r="E30"/>
      <c r="F30"/>
    </row>
    <row r="31" spans="1:7" s="361" customFormat="1" ht="23.25" customHeight="1">
      <c r="A31"/>
      <c r="B31"/>
      <c r="C31"/>
      <c r="D31"/>
      <c r="E31"/>
      <c r="F31"/>
    </row>
    <row r="32" spans="1:7" s="361" customFormat="1" ht="23.25" customHeight="1">
      <c r="A32"/>
      <c r="B32"/>
      <c r="C32"/>
      <c r="D32"/>
      <c r="E32"/>
      <c r="F32"/>
    </row>
    <row r="33" spans="1:6" s="361" customFormat="1" ht="23.25" customHeight="1">
      <c r="A33"/>
      <c r="B33"/>
      <c r="C33"/>
      <c r="D33"/>
      <c r="E33"/>
      <c r="F33"/>
    </row>
    <row r="34" spans="1:6" s="361" customFormat="1" ht="23.25" customHeight="1">
      <c r="A34"/>
      <c r="B34"/>
      <c r="C34"/>
      <c r="D34"/>
      <c r="E34"/>
      <c r="F34"/>
    </row>
    <row r="35" spans="1:6" s="361" customFormat="1" ht="23.25" customHeight="1">
      <c r="A35"/>
      <c r="B35"/>
      <c r="C35"/>
      <c r="D35"/>
      <c r="E35"/>
      <c r="F35"/>
    </row>
    <row r="36" spans="1:6" s="361" customFormat="1" ht="23.25" customHeight="1">
      <c r="A36"/>
      <c r="B36"/>
      <c r="C36"/>
      <c r="D36"/>
      <c r="E36"/>
      <c r="F36"/>
    </row>
    <row r="37" spans="1:6" s="361" customFormat="1" ht="23.25" customHeight="1">
      <c r="A37"/>
      <c r="B37"/>
      <c r="C37"/>
      <c r="D37"/>
      <c r="E37"/>
      <c r="F37"/>
    </row>
    <row r="38" spans="1:6" s="361" customFormat="1" ht="23.25" customHeight="1">
      <c r="A38"/>
      <c r="B38"/>
      <c r="C38"/>
      <c r="D38"/>
      <c r="E38"/>
      <c r="F38"/>
    </row>
    <row r="39" spans="1:6" ht="23.25" customHeight="1">
      <c r="A39"/>
      <c r="B39"/>
      <c r="C39"/>
      <c r="D39"/>
      <c r="E39"/>
    </row>
    <row r="40" spans="1:6">
      <c r="A40"/>
      <c r="B40"/>
      <c r="C40"/>
      <c r="D40"/>
      <c r="E40"/>
    </row>
    <row r="41" spans="1:6">
      <c r="A41"/>
      <c r="B41"/>
      <c r="C41"/>
      <c r="D41"/>
      <c r="E41"/>
    </row>
    <row r="42" spans="1:6">
      <c r="A42"/>
      <c r="B42"/>
      <c r="C42"/>
      <c r="D42"/>
      <c r="E42"/>
    </row>
    <row r="43" spans="1:6">
      <c r="A43"/>
      <c r="B43"/>
      <c r="C43"/>
      <c r="D43"/>
      <c r="E43"/>
    </row>
    <row r="44" spans="1:6">
      <c r="A44"/>
      <c r="B44"/>
      <c r="C44"/>
      <c r="D44"/>
      <c r="E44"/>
    </row>
    <row r="45" spans="1:6">
      <c r="A45"/>
      <c r="C45"/>
      <c r="D45"/>
      <c r="E45"/>
    </row>
    <row r="46" spans="1:6">
      <c r="C46"/>
    </row>
  </sheetData>
  <mergeCells count="3">
    <mergeCell ref="A1:G1"/>
    <mergeCell ref="B4:D4"/>
    <mergeCell ref="E4:G4"/>
  </mergeCells>
  <pageMargins left="0.78740157480314965" right="0.78740157480314965" top="1.2204724409448819" bottom="0.78740157480314965" header="0" footer="0"/>
  <pageSetup paperSize="5" scale="80" orientation="portrait" horizontalDpi="300" verticalDpi="300" r:id="rId1"/>
  <headerFooter alignWithMargins="0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91"/>
  <sheetViews>
    <sheetView topLeftCell="A86" zoomScale="75" workbookViewId="0">
      <selection activeCell="C47" sqref="C47"/>
    </sheetView>
  </sheetViews>
  <sheetFormatPr baseColWidth="10" defaultRowHeight="12.75"/>
  <cols>
    <col min="1" max="1" width="69.5703125" customWidth="1"/>
    <col min="2" max="2" width="17.140625" customWidth="1"/>
    <col min="7" max="8" width="12.140625" customWidth="1"/>
  </cols>
  <sheetData>
    <row r="1" spans="1:8" ht="15.75">
      <c r="A1" s="1264" t="s">
        <v>1453</v>
      </c>
      <c r="B1" s="1264"/>
      <c r="C1" s="1264"/>
      <c r="D1" s="1264"/>
      <c r="E1" s="1264"/>
      <c r="F1" s="1264"/>
      <c r="G1" s="1264"/>
      <c r="H1" s="1264"/>
    </row>
    <row r="2" spans="1:8" ht="15.75">
      <c r="A2" s="1264" t="s">
        <v>1160</v>
      </c>
      <c r="B2" s="1264"/>
      <c r="C2" s="1264"/>
      <c r="D2" s="1264"/>
      <c r="E2" s="1264"/>
      <c r="F2" s="1264"/>
      <c r="G2" s="1264"/>
      <c r="H2" s="1264"/>
    </row>
    <row r="3" spans="1:8">
      <c r="A3" s="603"/>
      <c r="B3" s="603"/>
      <c r="C3" s="603"/>
      <c r="D3" s="603"/>
      <c r="E3" s="603"/>
      <c r="F3" s="603"/>
      <c r="G3" s="603"/>
      <c r="H3" s="603"/>
    </row>
    <row r="4" spans="1:8" hidden="1">
      <c r="A4" s="85"/>
      <c r="B4" s="85"/>
      <c r="C4" s="85"/>
      <c r="D4" s="1268" t="s">
        <v>926</v>
      </c>
      <c r="E4" s="1269"/>
      <c r="F4" s="1269"/>
      <c r="G4" s="1269"/>
      <c r="H4" s="1269"/>
    </row>
    <row r="5" spans="1:8">
      <c r="A5" s="183"/>
      <c r="B5" s="183"/>
      <c r="C5" s="1270" t="s">
        <v>1161</v>
      </c>
      <c r="D5" s="1271"/>
      <c r="E5" s="1271"/>
      <c r="F5" s="1271"/>
      <c r="G5" s="1271"/>
      <c r="H5" s="1271"/>
    </row>
    <row r="6" spans="1:8" ht="31.5" customHeight="1">
      <c r="A6" s="604" t="s">
        <v>1162</v>
      </c>
      <c r="B6" s="605" t="s">
        <v>1163</v>
      </c>
      <c r="C6" s="606" t="s">
        <v>571</v>
      </c>
      <c r="D6" s="607" t="s">
        <v>1164</v>
      </c>
      <c r="E6" s="607" t="s">
        <v>1165</v>
      </c>
      <c r="F6" s="607" t="s">
        <v>1166</v>
      </c>
      <c r="G6" s="607" t="s">
        <v>1167</v>
      </c>
      <c r="H6" s="607" t="s">
        <v>1168</v>
      </c>
    </row>
    <row r="7" spans="1:8" ht="15.75">
      <c r="A7" s="608"/>
      <c r="B7" s="609">
        <f>SUM(B8:B91)</f>
        <v>43644</v>
      </c>
      <c r="C7" s="610">
        <f t="shared" ref="C7:H7" si="0">SUM(C8:C91)</f>
        <v>74679</v>
      </c>
      <c r="D7" s="610">
        <f t="shared" si="0"/>
        <v>39235</v>
      </c>
      <c r="E7" s="610">
        <f t="shared" si="0"/>
        <v>29847</v>
      </c>
      <c r="F7" s="610">
        <f t="shared" si="0"/>
        <v>865</v>
      </c>
      <c r="G7" s="610">
        <f t="shared" si="0"/>
        <v>4576</v>
      </c>
      <c r="H7" s="610">
        <f t="shared" si="0"/>
        <v>156</v>
      </c>
    </row>
    <row r="8" spans="1:8" s="6" customFormat="1" ht="23.25" customHeight="1">
      <c r="A8" s="611" t="s">
        <v>1169</v>
      </c>
      <c r="B8" s="612">
        <v>77</v>
      </c>
      <c r="C8" s="613">
        <f t="shared" ref="C8:C39" si="1">SUM(D8:H8)</f>
        <v>9196</v>
      </c>
      <c r="D8" s="614">
        <f>+[29]HOSCA!$E$581</f>
        <v>8719</v>
      </c>
      <c r="E8" s="614">
        <f>+[30]HOSLA!$E$581</f>
        <v>477</v>
      </c>
      <c r="F8" s="614"/>
      <c r="G8" s="614"/>
      <c r="H8" s="614"/>
    </row>
    <row r="9" spans="1:8" s="6" customFormat="1" ht="23.25" customHeight="1">
      <c r="A9" s="615" t="s">
        <v>1170</v>
      </c>
      <c r="B9" s="616">
        <v>83</v>
      </c>
      <c r="C9" s="617">
        <f t="shared" si="1"/>
        <v>97</v>
      </c>
      <c r="D9" s="618">
        <f>+[29]HOSCA!$E$610</f>
        <v>97</v>
      </c>
      <c r="E9" s="618">
        <f>+[30]HOSLA!$E$610</f>
        <v>0</v>
      </c>
      <c r="F9" s="618"/>
      <c r="G9" s="618"/>
      <c r="H9" s="618"/>
    </row>
    <row r="10" spans="1:8" s="6" customFormat="1" ht="23.25" customHeight="1">
      <c r="A10" s="615" t="s">
        <v>1171</v>
      </c>
      <c r="B10" s="616">
        <v>760</v>
      </c>
      <c r="C10" s="617">
        <f t="shared" si="1"/>
        <v>1020</v>
      </c>
      <c r="D10" s="618">
        <f>+[29]HOSCA!$E$633</f>
        <v>595</v>
      </c>
      <c r="E10" s="618">
        <f>+[30]HOSLA!$E$633</f>
        <v>425</v>
      </c>
      <c r="F10" s="618"/>
      <c r="G10" s="618"/>
      <c r="H10" s="618"/>
    </row>
    <row r="11" spans="1:8" s="6" customFormat="1" ht="23.25" customHeight="1">
      <c r="A11" s="615" t="s">
        <v>1172</v>
      </c>
      <c r="B11" s="616">
        <v>264</v>
      </c>
      <c r="C11" s="617">
        <f t="shared" si="1"/>
        <v>1865</v>
      </c>
      <c r="D11" s="618">
        <f>+[29]HOSCA!$E$652</f>
        <v>770</v>
      </c>
      <c r="E11" s="618">
        <f>+[30]HOSLA!$E$652</f>
        <v>838</v>
      </c>
      <c r="F11" s="618">
        <f>+'[31]LLAY-LLAY'!$E$652</f>
        <v>257</v>
      </c>
      <c r="G11" s="618"/>
      <c r="H11" s="618"/>
    </row>
    <row r="12" spans="1:8" s="6" customFormat="1" ht="23.25" customHeight="1">
      <c r="A12" s="615" t="s">
        <v>1173</v>
      </c>
      <c r="B12" s="616">
        <v>1588</v>
      </c>
      <c r="C12" s="617">
        <f t="shared" si="1"/>
        <v>5957</v>
      </c>
      <c r="D12" s="618">
        <f>+[29]HOSCA!$E$655</f>
        <v>2790</v>
      </c>
      <c r="E12" s="618">
        <f>+[30]HOSLA!$E$655</f>
        <v>2403</v>
      </c>
      <c r="F12" s="618">
        <f>+'[31]LLAY-LLAY'!$E$655</f>
        <v>608</v>
      </c>
      <c r="G12" s="618"/>
      <c r="H12" s="618">
        <f>+[32]HPUT!$E$655</f>
        <v>156</v>
      </c>
    </row>
    <row r="13" spans="1:8" s="6" customFormat="1" ht="22.5" customHeight="1">
      <c r="A13" s="615" t="s">
        <v>1174</v>
      </c>
      <c r="B13" s="616">
        <v>20</v>
      </c>
      <c r="C13" s="617">
        <f t="shared" si="1"/>
        <v>2228</v>
      </c>
      <c r="D13" s="618">
        <f>+[29]HOSCA!$E$662</f>
        <v>1376</v>
      </c>
      <c r="E13" s="618">
        <f>+[30]HOSLA!$E$662</f>
        <v>852</v>
      </c>
      <c r="F13" s="618"/>
      <c r="G13" s="618"/>
      <c r="H13" s="618"/>
    </row>
    <row r="14" spans="1:8" s="6" customFormat="1" ht="22.5" customHeight="1">
      <c r="A14" s="615" t="s">
        <v>1175</v>
      </c>
      <c r="B14" s="616">
        <v>2956</v>
      </c>
      <c r="C14" s="617">
        <f t="shared" si="1"/>
        <v>7202</v>
      </c>
      <c r="D14" s="618">
        <f>+[29]HOSCA!$E$671</f>
        <v>2512</v>
      </c>
      <c r="E14" s="618">
        <f>+[30]HOSLA!$E$671</f>
        <v>4690</v>
      </c>
      <c r="F14" s="618"/>
      <c r="G14" s="618"/>
      <c r="H14" s="618"/>
    </row>
    <row r="15" spans="1:8" s="6" customFormat="1" ht="22.5" customHeight="1">
      <c r="A15" s="615" t="s">
        <v>1176</v>
      </c>
      <c r="B15" s="616">
        <v>151</v>
      </c>
      <c r="C15" s="617">
        <f t="shared" si="1"/>
        <v>3040</v>
      </c>
      <c r="D15" s="618">
        <f>+[29]HOSCA!$E$676</f>
        <v>1648</v>
      </c>
      <c r="E15" s="618">
        <f>+[30]HOSLA!$E$676</f>
        <v>1392</v>
      </c>
      <c r="F15" s="618"/>
      <c r="G15" s="618"/>
      <c r="H15" s="618"/>
    </row>
    <row r="16" spans="1:8" s="6" customFormat="1" ht="22.5" customHeight="1">
      <c r="A16" s="615" t="s">
        <v>1177</v>
      </c>
      <c r="B16" s="616">
        <v>7</v>
      </c>
      <c r="C16" s="617">
        <f t="shared" si="1"/>
        <v>5</v>
      </c>
      <c r="D16" s="618">
        <f>+[29]HOSCA!$E$696</f>
        <v>5</v>
      </c>
      <c r="E16" s="618">
        <f>+[30]HOSLA!$E$696</f>
        <v>0</v>
      </c>
      <c r="F16" s="618"/>
      <c r="G16" s="618"/>
      <c r="H16" s="618"/>
    </row>
    <row r="17" spans="1:8" s="6" customFormat="1" ht="22.5" customHeight="1">
      <c r="A17" s="615" t="s">
        <v>1178</v>
      </c>
      <c r="B17" s="616">
        <v>0</v>
      </c>
      <c r="C17" s="617">
        <f t="shared" si="1"/>
        <v>0</v>
      </c>
      <c r="D17" s="618">
        <f>+[29]HOSCA!$E$706</f>
        <v>0</v>
      </c>
      <c r="E17" s="618">
        <f>+[30]HOSLA!$E$706</f>
        <v>0</v>
      </c>
      <c r="F17" s="618"/>
      <c r="G17" s="618"/>
      <c r="H17" s="618"/>
    </row>
    <row r="18" spans="1:8" s="6" customFormat="1" ht="22.5" customHeight="1">
      <c r="A18" s="615" t="s">
        <v>1179</v>
      </c>
      <c r="B18" s="616">
        <v>743</v>
      </c>
      <c r="C18" s="617">
        <f t="shared" si="1"/>
        <v>2005</v>
      </c>
      <c r="D18" s="618">
        <f>+[29]HOSCA!$E$713</f>
        <v>2005</v>
      </c>
      <c r="E18" s="618">
        <f>+[30]HOSLA!$E$713</f>
        <v>0</v>
      </c>
      <c r="F18" s="618"/>
      <c r="G18" s="618"/>
      <c r="H18" s="618"/>
    </row>
    <row r="19" spans="1:8" s="6" customFormat="1" ht="22.5" customHeight="1">
      <c r="A19" s="615" t="s">
        <v>1180</v>
      </c>
      <c r="B19" s="616">
        <v>43</v>
      </c>
      <c r="C19" s="617">
        <f t="shared" si="1"/>
        <v>212</v>
      </c>
      <c r="D19" s="618">
        <f>+[29]HOSCA!$E$718</f>
        <v>0</v>
      </c>
      <c r="E19" s="618">
        <f>+[30]HOSLA!$E$718</f>
        <v>212</v>
      </c>
      <c r="F19" s="618"/>
      <c r="G19" s="618"/>
      <c r="H19" s="618"/>
    </row>
    <row r="20" spans="1:8" s="6" customFormat="1" ht="22.5" customHeight="1">
      <c r="A20" s="615" t="s">
        <v>1181</v>
      </c>
      <c r="B20" s="616">
        <v>5</v>
      </c>
      <c r="C20" s="617">
        <f t="shared" si="1"/>
        <v>41</v>
      </c>
      <c r="D20" s="618">
        <f>+[29]HOSCA!$E$723</f>
        <v>5</v>
      </c>
      <c r="E20" s="618">
        <f>+[30]HOSLA!$E$723</f>
        <v>36</v>
      </c>
      <c r="F20" s="618"/>
      <c r="G20" s="618"/>
      <c r="H20" s="618"/>
    </row>
    <row r="21" spans="1:8" s="6" customFormat="1" ht="22.5" customHeight="1">
      <c r="A21" s="615" t="s">
        <v>1182</v>
      </c>
      <c r="B21" s="616">
        <v>0</v>
      </c>
      <c r="C21" s="617">
        <f t="shared" si="1"/>
        <v>0</v>
      </c>
      <c r="D21" s="618">
        <f>+[29]HOSCA!$E$735</f>
        <v>0</v>
      </c>
      <c r="E21" s="618">
        <f>+[30]HOSLA!$E$735</f>
        <v>0</v>
      </c>
      <c r="F21" s="618"/>
      <c r="G21" s="618"/>
      <c r="H21" s="618"/>
    </row>
    <row r="22" spans="1:8" s="6" customFormat="1" ht="22.5" customHeight="1">
      <c r="A22" s="615" t="s">
        <v>1183</v>
      </c>
      <c r="B22" s="616">
        <v>34</v>
      </c>
      <c r="C22" s="617">
        <f t="shared" si="1"/>
        <v>575</v>
      </c>
      <c r="D22" s="618">
        <f>+[29]HOSCA!$E$749</f>
        <v>0</v>
      </c>
      <c r="E22" s="618">
        <f>+[30]HOSLA!$E$749</f>
        <v>0</v>
      </c>
      <c r="F22" s="618"/>
      <c r="G22" s="618">
        <f>+[33]PSIQ.!$E$749</f>
        <v>575</v>
      </c>
      <c r="H22" s="618"/>
    </row>
    <row r="23" spans="1:8" s="6" customFormat="1" ht="25.5" customHeight="1">
      <c r="A23" s="615" t="s">
        <v>1184</v>
      </c>
      <c r="B23" s="616">
        <v>9</v>
      </c>
      <c r="C23" s="617">
        <f t="shared" si="1"/>
        <v>126</v>
      </c>
      <c r="D23" s="618">
        <f>+[29]HOSCA!$E$755</f>
        <v>0</v>
      </c>
      <c r="E23" s="618">
        <f>+[30]HOSLA!$E$755</f>
        <v>126</v>
      </c>
      <c r="F23" s="618"/>
      <c r="G23" s="618"/>
      <c r="H23" s="618"/>
    </row>
    <row r="24" spans="1:8" s="6" customFormat="1" ht="25.5" customHeight="1">
      <c r="A24" s="615" t="s">
        <v>1185</v>
      </c>
      <c r="B24" s="616">
        <v>10</v>
      </c>
      <c r="C24" s="617">
        <f t="shared" si="1"/>
        <v>40</v>
      </c>
      <c r="D24" s="618">
        <f>+[29]HOSCA!$E$771</f>
        <v>29</v>
      </c>
      <c r="E24" s="618">
        <f>+[30]HOSLA!$E$771</f>
        <v>11</v>
      </c>
      <c r="F24" s="618"/>
      <c r="G24" s="618"/>
      <c r="H24" s="618"/>
    </row>
    <row r="25" spans="1:8" s="6" customFormat="1" ht="25.5" customHeight="1">
      <c r="A25" s="615" t="s">
        <v>1186</v>
      </c>
      <c r="B25" s="616">
        <v>1</v>
      </c>
      <c r="C25" s="617">
        <f t="shared" si="1"/>
        <v>2155</v>
      </c>
      <c r="D25" s="618">
        <f>+[29]HOSCA!$E$782</f>
        <v>608</v>
      </c>
      <c r="E25" s="618">
        <f>+[30]HOSLA!$E$782</f>
        <v>1547</v>
      </c>
      <c r="F25" s="618"/>
      <c r="G25" s="618"/>
      <c r="H25" s="618"/>
    </row>
    <row r="26" spans="1:8" s="6" customFormat="1" ht="25.5" customHeight="1">
      <c r="A26" s="615" t="s">
        <v>1187</v>
      </c>
      <c r="B26" s="616">
        <v>3072</v>
      </c>
      <c r="C26" s="617">
        <f t="shared" si="1"/>
        <v>0</v>
      </c>
      <c r="D26" s="618"/>
      <c r="E26" s="618"/>
      <c r="F26" s="618"/>
      <c r="G26" s="618"/>
      <c r="H26" s="618"/>
    </row>
    <row r="27" spans="1:8" s="6" customFormat="1" ht="25.5" customHeight="1">
      <c r="A27" s="615" t="s">
        <v>1188</v>
      </c>
      <c r="B27" s="616">
        <v>422</v>
      </c>
      <c r="C27" s="617">
        <f t="shared" si="1"/>
        <v>0</v>
      </c>
      <c r="D27" s="618"/>
      <c r="E27" s="618"/>
      <c r="F27" s="618"/>
      <c r="G27" s="618"/>
      <c r="H27" s="618"/>
    </row>
    <row r="28" spans="1:8" s="6" customFormat="1" ht="25.5" customHeight="1">
      <c r="A28" s="615" t="s">
        <v>1189</v>
      </c>
      <c r="B28" s="616">
        <v>3199</v>
      </c>
      <c r="C28" s="617">
        <f t="shared" si="1"/>
        <v>0</v>
      </c>
      <c r="D28" s="618"/>
      <c r="E28" s="618"/>
      <c r="F28" s="618"/>
      <c r="G28" s="618"/>
      <c r="H28" s="618"/>
    </row>
    <row r="29" spans="1:8" s="6" customFormat="1" ht="25.5" customHeight="1">
      <c r="A29" s="615" t="s">
        <v>1190</v>
      </c>
      <c r="B29" s="616">
        <v>13</v>
      </c>
      <c r="C29" s="617">
        <f t="shared" si="1"/>
        <v>43</v>
      </c>
      <c r="D29" s="618">
        <f>+[29]HOSCA!$E$789</f>
        <v>43</v>
      </c>
      <c r="E29" s="618">
        <f>+[30]HOSLA!$E$789</f>
        <v>0</v>
      </c>
      <c r="F29" s="618"/>
      <c r="G29" s="618"/>
      <c r="H29" s="618"/>
    </row>
    <row r="30" spans="1:8" s="6" customFormat="1" ht="25.5" customHeight="1">
      <c r="A30" s="615" t="s">
        <v>1191</v>
      </c>
      <c r="B30" s="616">
        <v>1615</v>
      </c>
      <c r="C30" s="617">
        <f t="shared" si="1"/>
        <v>0</v>
      </c>
      <c r="D30" s="618"/>
      <c r="E30" s="618"/>
      <c r="F30" s="618"/>
      <c r="G30" s="618"/>
      <c r="H30" s="618"/>
    </row>
    <row r="31" spans="1:8" s="6" customFormat="1" ht="25.5" customHeight="1">
      <c r="A31" s="615" t="s">
        <v>1192</v>
      </c>
      <c r="B31" s="616"/>
      <c r="C31" s="617">
        <f t="shared" si="1"/>
        <v>0</v>
      </c>
      <c r="D31" s="618"/>
      <c r="E31" s="618"/>
      <c r="F31" s="618"/>
      <c r="G31" s="618"/>
      <c r="H31" s="618"/>
    </row>
    <row r="32" spans="1:8" s="6" customFormat="1" ht="25.5" customHeight="1">
      <c r="A32" s="615" t="s">
        <v>1193</v>
      </c>
      <c r="B32" s="616"/>
      <c r="C32" s="617">
        <f t="shared" si="1"/>
        <v>0</v>
      </c>
      <c r="D32" s="618"/>
      <c r="E32" s="618"/>
      <c r="F32" s="618"/>
      <c r="G32" s="618"/>
      <c r="H32" s="618"/>
    </row>
    <row r="33" spans="1:8" s="6" customFormat="1" ht="25.5" customHeight="1">
      <c r="A33" s="615" t="s">
        <v>1194</v>
      </c>
      <c r="B33" s="616">
        <v>331</v>
      </c>
      <c r="C33" s="617">
        <f t="shared" si="1"/>
        <v>962</v>
      </c>
      <c r="D33" s="618">
        <f>+[29]HOSCA!$E$793</f>
        <v>447</v>
      </c>
      <c r="E33" s="618">
        <f>+[30]HOSLA!$E$793</f>
        <v>515</v>
      </c>
      <c r="F33" s="618"/>
      <c r="G33" s="618"/>
      <c r="H33" s="618"/>
    </row>
    <row r="34" spans="1:8" s="6" customFormat="1" ht="25.5" customHeight="1">
      <c r="A34" s="615" t="s">
        <v>1195</v>
      </c>
      <c r="B34" s="616"/>
      <c r="C34" s="617">
        <f t="shared" si="1"/>
        <v>0</v>
      </c>
      <c r="D34" s="618"/>
      <c r="E34" s="618"/>
      <c r="F34" s="618"/>
      <c r="G34" s="618"/>
      <c r="H34" s="618"/>
    </row>
    <row r="35" spans="1:8" s="6" customFormat="1" ht="25.5" customHeight="1">
      <c r="A35" s="615" t="s">
        <v>1196</v>
      </c>
      <c r="B35" s="616">
        <v>104</v>
      </c>
      <c r="C35" s="617">
        <f t="shared" si="1"/>
        <v>558</v>
      </c>
      <c r="D35" s="618">
        <f>+[29]HOSCA!$E$798</f>
        <v>524</v>
      </c>
      <c r="E35" s="618">
        <f>+[30]HOSLA!$E$798</f>
        <v>34</v>
      </c>
      <c r="F35" s="618"/>
      <c r="G35" s="618"/>
      <c r="H35" s="618"/>
    </row>
    <row r="36" spans="1:8" s="6" customFormat="1" ht="25.5" customHeight="1">
      <c r="A36" s="615" t="s">
        <v>1197</v>
      </c>
      <c r="B36" s="616">
        <v>444</v>
      </c>
      <c r="C36" s="617">
        <f t="shared" si="1"/>
        <v>308</v>
      </c>
      <c r="D36" s="618">
        <f>+[29]HOSCA!$E$808</f>
        <v>166</v>
      </c>
      <c r="E36" s="618">
        <f>+[30]HOSLA!$E$808</f>
        <v>142</v>
      </c>
      <c r="F36" s="618"/>
      <c r="G36" s="618"/>
      <c r="H36" s="618"/>
    </row>
    <row r="37" spans="1:8" s="6" customFormat="1" ht="25.5" customHeight="1">
      <c r="A37" s="615" t="s">
        <v>1199</v>
      </c>
      <c r="B37" s="616">
        <v>67</v>
      </c>
      <c r="C37" s="617">
        <f t="shared" si="1"/>
        <v>135</v>
      </c>
      <c r="D37" s="618">
        <f>+[29]HOSCA!$E$812</f>
        <v>64</v>
      </c>
      <c r="E37" s="618">
        <f>+[30]HOSLA!$E$812</f>
        <v>71</v>
      </c>
      <c r="F37" s="618"/>
      <c r="G37" s="618"/>
      <c r="H37" s="618"/>
    </row>
    <row r="38" spans="1:8" s="6" customFormat="1" ht="25.5" customHeight="1">
      <c r="A38" s="615" t="s">
        <v>1200</v>
      </c>
      <c r="B38" s="616">
        <v>27</v>
      </c>
      <c r="C38" s="617">
        <f t="shared" si="1"/>
        <v>1629</v>
      </c>
      <c r="D38" s="618">
        <f>+[29]HOSCA!$E$821</f>
        <v>0</v>
      </c>
      <c r="E38" s="618">
        <f>+[30]HOSLA!$E$821</f>
        <v>1629</v>
      </c>
      <c r="F38" s="618"/>
      <c r="G38" s="618"/>
      <c r="H38" s="618"/>
    </row>
    <row r="39" spans="1:8" s="6" customFormat="1" ht="25.5" customHeight="1">
      <c r="A39" s="615" t="s">
        <v>1201</v>
      </c>
      <c r="B39" s="616">
        <v>2267</v>
      </c>
      <c r="C39" s="617">
        <f t="shared" si="1"/>
        <v>6434</v>
      </c>
      <c r="D39" s="618">
        <f>+[29]HOSCA!$E$832</f>
        <v>6434</v>
      </c>
      <c r="E39" s="618">
        <f>+[30]HOSLA!$E$832</f>
        <v>0</v>
      </c>
      <c r="F39" s="618"/>
      <c r="G39" s="618"/>
      <c r="H39" s="618"/>
    </row>
    <row r="40" spans="1:8" s="6" customFormat="1" ht="25.5" customHeight="1">
      <c r="A40" s="615" t="s">
        <v>1202</v>
      </c>
      <c r="B40" s="616">
        <v>99</v>
      </c>
      <c r="C40" s="617">
        <f t="shared" ref="C40:C71" si="2">SUM(D40:H40)</f>
        <v>195</v>
      </c>
      <c r="D40" s="618">
        <f>+[29]HOSCA!$E$836</f>
        <v>195</v>
      </c>
      <c r="E40" s="618">
        <f>+[30]HOSLA!$E$836</f>
        <v>0</v>
      </c>
      <c r="F40" s="618"/>
      <c r="G40" s="618"/>
      <c r="H40" s="618"/>
    </row>
    <row r="41" spans="1:8" s="6" customFormat="1" ht="25.5" customHeight="1">
      <c r="A41" s="615" t="s">
        <v>1203</v>
      </c>
      <c r="B41" s="616">
        <v>255</v>
      </c>
      <c r="C41" s="617">
        <f t="shared" si="2"/>
        <v>587</v>
      </c>
      <c r="D41" s="618">
        <f>+[29]HOSCA!$E$841</f>
        <v>587</v>
      </c>
      <c r="E41" s="618">
        <f>+[30]HOSLA!$E$841</f>
        <v>0</v>
      </c>
      <c r="F41" s="618"/>
      <c r="G41" s="618"/>
      <c r="H41" s="618"/>
    </row>
    <row r="42" spans="1:8" s="6" customFormat="1" ht="25.5" customHeight="1">
      <c r="A42" s="615" t="s">
        <v>1204</v>
      </c>
      <c r="B42" s="616">
        <v>36</v>
      </c>
      <c r="C42" s="617">
        <f t="shared" si="2"/>
        <v>61</v>
      </c>
      <c r="D42" s="618">
        <f>+[29]HOSCA!$E$846</f>
        <v>61</v>
      </c>
      <c r="E42" s="618">
        <f>+[30]HOSLA!$E$846</f>
        <v>0</v>
      </c>
      <c r="F42" s="618"/>
      <c r="G42" s="618"/>
      <c r="H42" s="618"/>
    </row>
    <row r="43" spans="1:8" s="6" customFormat="1" ht="25.5" customHeight="1">
      <c r="A43" s="615" t="s">
        <v>1205</v>
      </c>
      <c r="B43" s="616">
        <v>0</v>
      </c>
      <c r="C43" s="617">
        <f t="shared" si="2"/>
        <v>0</v>
      </c>
      <c r="D43" s="618">
        <f>+[29]HOSCA!$E$851</f>
        <v>0</v>
      </c>
      <c r="E43" s="618">
        <f>+[30]HOSLA!$E$851</f>
        <v>0</v>
      </c>
      <c r="F43" s="618"/>
      <c r="G43" s="618"/>
      <c r="H43" s="618"/>
    </row>
    <row r="44" spans="1:8" s="6" customFormat="1" ht="25.5" customHeight="1">
      <c r="A44" s="615" t="s">
        <v>1206</v>
      </c>
      <c r="B44" s="616">
        <v>1794</v>
      </c>
      <c r="C44" s="617">
        <f t="shared" si="2"/>
        <v>3855</v>
      </c>
      <c r="D44" s="618">
        <f>+[29]HOSCA!$E$857</f>
        <v>0</v>
      </c>
      <c r="E44" s="618">
        <f>+[30]HOSLA!$E$857</f>
        <v>0</v>
      </c>
      <c r="F44" s="618"/>
      <c r="G44" s="618">
        <f>+[33]PSIQ.!$E$857</f>
        <v>3855</v>
      </c>
      <c r="H44" s="618"/>
    </row>
    <row r="45" spans="1:8" s="6" customFormat="1" ht="25.5" customHeight="1">
      <c r="A45" s="615" t="s">
        <v>1207</v>
      </c>
      <c r="B45" s="616">
        <v>189</v>
      </c>
      <c r="C45" s="617">
        <f t="shared" si="2"/>
        <v>1612</v>
      </c>
      <c r="D45" s="618">
        <f>+[29]HOSCA!$E$862</f>
        <v>0</v>
      </c>
      <c r="E45" s="618">
        <f>+[30]HOSLA!$E$862</f>
        <v>1612</v>
      </c>
      <c r="F45" s="618"/>
      <c r="G45" s="618"/>
      <c r="H45" s="618"/>
    </row>
    <row r="46" spans="1:8" s="6" customFormat="1" ht="25.5" customHeight="1">
      <c r="A46" s="615" t="s">
        <v>1208</v>
      </c>
      <c r="B46" s="616">
        <v>1370</v>
      </c>
      <c r="C46" s="617">
        <f t="shared" si="2"/>
        <v>3481</v>
      </c>
      <c r="D46" s="618">
        <f>+[29]HOSCA!$E$867</f>
        <v>1944</v>
      </c>
      <c r="E46" s="618">
        <f>+[30]HOSLA!$E$867</f>
        <v>1537</v>
      </c>
      <c r="F46" s="618"/>
      <c r="G46" s="618"/>
      <c r="H46" s="618"/>
    </row>
    <row r="47" spans="1:8" s="6" customFormat="1" ht="25.5" customHeight="1">
      <c r="A47" s="615" t="s">
        <v>1209</v>
      </c>
      <c r="B47" s="616">
        <v>361</v>
      </c>
      <c r="C47" s="617">
        <f t="shared" si="2"/>
        <v>2200</v>
      </c>
      <c r="D47" s="618">
        <f>+[29]HOSCA!$E$876</f>
        <v>668</v>
      </c>
      <c r="E47" s="618">
        <f>+[30]HOSLA!$E$876</f>
        <v>1532</v>
      </c>
      <c r="F47" s="618"/>
      <c r="G47" s="618"/>
      <c r="H47" s="618"/>
    </row>
    <row r="48" spans="1:8" s="6" customFormat="1" ht="25.5" customHeight="1">
      <c r="A48" s="615" t="s">
        <v>1210</v>
      </c>
      <c r="B48" s="616">
        <v>409</v>
      </c>
      <c r="C48" s="617">
        <f t="shared" si="2"/>
        <v>1264</v>
      </c>
      <c r="D48" s="618">
        <f>+[29]HOSCA!$E$882</f>
        <v>596</v>
      </c>
      <c r="E48" s="618">
        <f>+[30]HOSLA!$E$882</f>
        <v>668</v>
      </c>
      <c r="F48" s="618"/>
      <c r="G48" s="618"/>
      <c r="H48" s="618"/>
    </row>
    <row r="49" spans="1:8" s="6" customFormat="1" ht="25.5" customHeight="1">
      <c r="A49" s="1199" t="s">
        <v>1211</v>
      </c>
      <c r="B49" s="616">
        <v>545</v>
      </c>
      <c r="C49" s="617">
        <f t="shared" si="2"/>
        <v>1258</v>
      </c>
      <c r="D49" s="618">
        <f>+[29]HOSCA!$E$885</f>
        <v>889</v>
      </c>
      <c r="E49" s="618">
        <f>+[30]HOSLA!$E$885</f>
        <v>369</v>
      </c>
      <c r="F49" s="618"/>
      <c r="G49" s="618"/>
      <c r="H49" s="618"/>
    </row>
    <row r="50" spans="1:8" s="6" customFormat="1" ht="25.5" customHeight="1">
      <c r="A50" s="1201" t="s">
        <v>1212</v>
      </c>
      <c r="B50" s="1198">
        <v>30</v>
      </c>
      <c r="C50" s="617">
        <f t="shared" si="2"/>
        <v>29</v>
      </c>
      <c r="D50" s="618">
        <f>+[29]HOSCA!$E$889</f>
        <v>29</v>
      </c>
      <c r="E50" s="618">
        <f>+[30]HOSLA!$E$889</f>
        <v>0</v>
      </c>
      <c r="F50" s="618"/>
      <c r="G50" s="618"/>
      <c r="H50" s="618"/>
    </row>
    <row r="51" spans="1:8" s="6" customFormat="1" ht="25.5" customHeight="1">
      <c r="A51" s="1200" t="s">
        <v>1213</v>
      </c>
      <c r="B51" s="616">
        <v>1745</v>
      </c>
      <c r="C51" s="617">
        <f t="shared" si="2"/>
        <v>140</v>
      </c>
      <c r="D51" s="618">
        <f>+[29]HOSCA!$E$898</f>
        <v>0</v>
      </c>
      <c r="E51" s="618">
        <f>+[30]HOSLA!$E$898</f>
        <v>140</v>
      </c>
      <c r="F51" s="618"/>
      <c r="G51" s="618"/>
      <c r="H51" s="618"/>
    </row>
    <row r="52" spans="1:8" s="6" customFormat="1" ht="25.5" customHeight="1">
      <c r="A52" s="620" t="s">
        <v>1214</v>
      </c>
      <c r="B52" s="616">
        <v>0</v>
      </c>
      <c r="C52" s="617">
        <f t="shared" si="2"/>
        <v>1</v>
      </c>
      <c r="D52" s="618">
        <f>+[29]HOSCA!$E$901</f>
        <v>1</v>
      </c>
      <c r="E52" s="618">
        <f>+[30]HOSLA!$E$901</f>
        <v>0</v>
      </c>
      <c r="F52" s="618"/>
      <c r="G52" s="618"/>
      <c r="H52" s="618"/>
    </row>
    <row r="53" spans="1:8" s="6" customFormat="1" ht="25.5" customHeight="1">
      <c r="A53" s="620" t="s">
        <v>1215</v>
      </c>
      <c r="B53" s="616">
        <v>6</v>
      </c>
      <c r="C53" s="617">
        <f t="shared" si="2"/>
        <v>19</v>
      </c>
      <c r="D53" s="618">
        <f>+[29]HOSCA!$E$908</f>
        <v>16</v>
      </c>
      <c r="E53" s="618">
        <f>+[30]HOSLA!$E$908</f>
        <v>3</v>
      </c>
      <c r="F53" s="618"/>
      <c r="G53" s="618"/>
      <c r="H53" s="618"/>
    </row>
    <row r="54" spans="1:8" s="6" customFormat="1" ht="25.5" customHeight="1">
      <c r="A54" s="615" t="s">
        <v>1216</v>
      </c>
      <c r="B54" s="616">
        <v>36</v>
      </c>
      <c r="C54" s="617">
        <f t="shared" si="2"/>
        <v>88</v>
      </c>
      <c r="D54" s="618">
        <f>+[29]HOSCA!$E$918</f>
        <v>88</v>
      </c>
      <c r="E54" s="618">
        <f>+[30]HOSLA!$E$918</f>
        <v>0</v>
      </c>
      <c r="F54" s="618"/>
      <c r="G54" s="618"/>
      <c r="H54" s="618"/>
    </row>
    <row r="55" spans="1:8" s="6" customFormat="1" ht="25.5" customHeight="1">
      <c r="A55" s="615" t="s">
        <v>1217</v>
      </c>
      <c r="B55" s="616">
        <v>2</v>
      </c>
      <c r="C55" s="617">
        <f t="shared" si="2"/>
        <v>51</v>
      </c>
      <c r="D55" s="618">
        <f>+[29]HOSCA!$E$922</f>
        <v>51</v>
      </c>
      <c r="E55" s="618">
        <f>+[30]HOSLA!$E$922</f>
        <v>0</v>
      </c>
      <c r="F55" s="618"/>
      <c r="G55" s="618"/>
      <c r="H55" s="618"/>
    </row>
    <row r="56" spans="1:8" s="6" customFormat="1" ht="25.5" customHeight="1">
      <c r="A56" s="615" t="s">
        <v>1218</v>
      </c>
      <c r="B56" s="616">
        <v>3610</v>
      </c>
      <c r="C56" s="617">
        <f t="shared" si="2"/>
        <v>374</v>
      </c>
      <c r="D56" s="618">
        <f>+[29]HOSCA!$E$941</f>
        <v>371</v>
      </c>
      <c r="E56" s="618">
        <f>+[30]HOSLA!$E$941</f>
        <v>3</v>
      </c>
      <c r="F56" s="618"/>
      <c r="G56" s="618"/>
      <c r="H56" s="618"/>
    </row>
    <row r="57" spans="1:8" s="6" customFormat="1" ht="25.5" customHeight="1">
      <c r="A57" s="615" t="s">
        <v>1219</v>
      </c>
      <c r="B57" s="616">
        <v>614</v>
      </c>
      <c r="C57" s="617">
        <f t="shared" si="2"/>
        <v>0</v>
      </c>
      <c r="D57" s="618">
        <f>+[29]HOSCA!$E$949</f>
        <v>0</v>
      </c>
      <c r="E57" s="618">
        <f>+[30]HOSLA!$E$949</f>
        <v>0</v>
      </c>
      <c r="F57" s="618"/>
      <c r="G57" s="618"/>
      <c r="H57" s="618"/>
    </row>
    <row r="58" spans="1:8" s="6" customFormat="1" ht="25.5" customHeight="1">
      <c r="A58" s="615" t="s">
        <v>1220</v>
      </c>
      <c r="B58" s="616">
        <v>11</v>
      </c>
      <c r="C58" s="617">
        <f t="shared" si="2"/>
        <v>10</v>
      </c>
      <c r="D58" s="618">
        <f>+[29]HOSCA!$E$953</f>
        <v>6</v>
      </c>
      <c r="E58" s="618">
        <f>+[30]HOSLA!$E$953</f>
        <v>4</v>
      </c>
      <c r="F58" s="618"/>
      <c r="G58" s="618"/>
      <c r="H58" s="618"/>
    </row>
    <row r="59" spans="1:8" s="6" customFormat="1" ht="25.5" customHeight="1">
      <c r="A59" s="615" t="s">
        <v>1221</v>
      </c>
      <c r="B59" s="616"/>
      <c r="C59" s="617">
        <f t="shared" si="2"/>
        <v>1</v>
      </c>
      <c r="D59" s="618">
        <f>+[29]HOSCA!$D$954</f>
        <v>1</v>
      </c>
      <c r="E59" s="618">
        <f>+[30]HOSLA!$D$954</f>
        <v>0</v>
      </c>
      <c r="F59" s="618"/>
      <c r="G59" s="618"/>
      <c r="H59" s="618"/>
    </row>
    <row r="60" spans="1:8" s="6" customFormat="1" ht="25.5" customHeight="1">
      <c r="A60" s="620" t="s">
        <v>1222</v>
      </c>
      <c r="B60" s="616">
        <v>38</v>
      </c>
      <c r="C60" s="617">
        <f t="shared" si="2"/>
        <v>55</v>
      </c>
      <c r="D60" s="618">
        <f>+[29]HOSCA!$E$956</f>
        <v>53</v>
      </c>
      <c r="E60" s="618">
        <f>+[30]HOSLA!$E$956</f>
        <v>2</v>
      </c>
      <c r="F60" s="618"/>
      <c r="G60" s="618"/>
      <c r="H60" s="618"/>
    </row>
    <row r="61" spans="1:8" s="6" customFormat="1" ht="25.5" customHeight="1">
      <c r="A61" s="615" t="s">
        <v>1223</v>
      </c>
      <c r="B61" s="616">
        <v>0</v>
      </c>
      <c r="C61" s="617">
        <f t="shared" si="2"/>
        <v>7</v>
      </c>
      <c r="D61" s="618">
        <f>+[29]HOSCA!$E$960</f>
        <v>7</v>
      </c>
      <c r="E61" s="618">
        <f>+[30]HOSLA!$E$960</f>
        <v>0</v>
      </c>
      <c r="F61" s="618"/>
      <c r="G61" s="618"/>
      <c r="H61" s="618"/>
    </row>
    <row r="62" spans="1:8" s="6" customFormat="1" ht="25.5" customHeight="1">
      <c r="A62" s="615" t="s">
        <v>1224</v>
      </c>
      <c r="B62" s="616">
        <v>0</v>
      </c>
      <c r="C62" s="617">
        <f t="shared" si="2"/>
        <v>0</v>
      </c>
      <c r="D62" s="618">
        <f>+[29]HOSCA!$E$966</f>
        <v>0</v>
      </c>
      <c r="E62" s="618">
        <f>+[30]HOSLA!$E$966</f>
        <v>0</v>
      </c>
      <c r="F62" s="618"/>
      <c r="G62" s="618"/>
      <c r="H62" s="618"/>
    </row>
    <row r="63" spans="1:8" s="6" customFormat="1" ht="25.5" customHeight="1">
      <c r="A63" s="615" t="s">
        <v>1225</v>
      </c>
      <c r="B63" s="616">
        <v>48</v>
      </c>
      <c r="C63" s="617">
        <f t="shared" si="2"/>
        <v>4933</v>
      </c>
      <c r="D63" s="618">
        <f>+[29]HOSCA!$E$974</f>
        <v>0</v>
      </c>
      <c r="E63" s="618">
        <f>+[30]HOSLA!$E$974</f>
        <v>4933</v>
      </c>
      <c r="F63" s="618"/>
      <c r="G63" s="618"/>
      <c r="H63" s="618"/>
    </row>
    <row r="64" spans="1:8" s="6" customFormat="1" ht="25.5" customHeight="1">
      <c r="A64" s="620" t="s">
        <v>1226</v>
      </c>
      <c r="B64" s="616">
        <v>51</v>
      </c>
      <c r="C64" s="617">
        <f t="shared" si="2"/>
        <v>0</v>
      </c>
      <c r="D64" s="618">
        <f>+[29]HOSCA!$E$977</f>
        <v>0</v>
      </c>
      <c r="E64" s="618">
        <f>+[30]HOSLA!$E$977</f>
        <v>0</v>
      </c>
      <c r="F64" s="618"/>
      <c r="G64" s="618"/>
      <c r="H64" s="618"/>
    </row>
    <row r="65" spans="1:8" s="6" customFormat="1" ht="25.5" customHeight="1">
      <c r="A65" s="615" t="s">
        <v>1227</v>
      </c>
      <c r="B65" s="616">
        <v>1276</v>
      </c>
      <c r="C65" s="617">
        <f t="shared" si="2"/>
        <v>1295</v>
      </c>
      <c r="D65" s="618">
        <f>+[29]HOSCA!$E$982</f>
        <v>769</v>
      </c>
      <c r="E65" s="618">
        <f>+[30]HOSLA!$E$982</f>
        <v>526</v>
      </c>
      <c r="F65" s="618"/>
      <c r="G65" s="618"/>
      <c r="H65" s="618"/>
    </row>
    <row r="66" spans="1:8" s="6" customFormat="1" ht="25.5" customHeight="1">
      <c r="A66" s="615" t="s">
        <v>1228</v>
      </c>
      <c r="B66" s="616">
        <v>0</v>
      </c>
      <c r="C66" s="617">
        <f t="shared" si="2"/>
        <v>0</v>
      </c>
      <c r="D66" s="618">
        <f>+[29]HOSCA!$E$985</f>
        <v>0</v>
      </c>
      <c r="E66" s="618">
        <f>+[30]HOSLA!$E$985</f>
        <v>0</v>
      </c>
      <c r="F66" s="618"/>
      <c r="G66" s="618"/>
      <c r="H66" s="618"/>
    </row>
    <row r="67" spans="1:8" s="6" customFormat="1" ht="24.75" customHeight="1">
      <c r="A67" s="621" t="s">
        <v>1229</v>
      </c>
      <c r="B67" s="616">
        <v>425</v>
      </c>
      <c r="C67" s="618">
        <f t="shared" si="2"/>
        <v>1362</v>
      </c>
      <c r="D67" s="622">
        <f>+[29]HOSCA!$E$1011</f>
        <v>1362</v>
      </c>
      <c r="E67" s="622">
        <f>+[30]HOSLA!$E$1011</f>
        <v>0</v>
      </c>
      <c r="F67" s="622"/>
      <c r="G67" s="622"/>
      <c r="H67" s="622"/>
    </row>
    <row r="68" spans="1:8" ht="24.75" customHeight="1">
      <c r="A68" s="623" t="s">
        <v>785</v>
      </c>
      <c r="B68" s="616">
        <v>29</v>
      </c>
      <c r="C68" s="618">
        <f t="shared" si="2"/>
        <v>48</v>
      </c>
      <c r="D68" s="619">
        <f>+[29]HOSCA!$E$1014</f>
        <v>48</v>
      </c>
      <c r="E68" s="619">
        <f>+[30]HOSLA!$E$1014</f>
        <v>0</v>
      </c>
      <c r="F68" s="618"/>
      <c r="G68" s="618"/>
      <c r="H68" s="618"/>
    </row>
    <row r="69" spans="1:8" ht="24.75" customHeight="1">
      <c r="A69" s="624" t="s">
        <v>786</v>
      </c>
      <c r="B69" s="616">
        <v>14</v>
      </c>
      <c r="C69" s="618">
        <f t="shared" si="2"/>
        <v>37</v>
      </c>
      <c r="D69" s="618">
        <f>+[29]HOSCA!$E$1022</f>
        <v>37</v>
      </c>
      <c r="E69" s="618">
        <f>+[30]HOSLA!$E$1022</f>
        <v>0</v>
      </c>
      <c r="F69" s="618"/>
      <c r="G69" s="618"/>
      <c r="H69" s="618"/>
    </row>
    <row r="70" spans="1:8" ht="24.75" customHeight="1">
      <c r="A70" s="621" t="s">
        <v>787</v>
      </c>
      <c r="B70" s="616">
        <v>31</v>
      </c>
      <c r="C70" s="618">
        <f t="shared" si="2"/>
        <v>34</v>
      </c>
      <c r="D70" s="618">
        <f>+[29]HOSCA!$E$1027</f>
        <v>34</v>
      </c>
      <c r="E70" s="618">
        <f>+[30]HOSLA!$E$1027</f>
        <v>0</v>
      </c>
      <c r="F70" s="618"/>
      <c r="G70" s="618"/>
      <c r="H70" s="618"/>
    </row>
    <row r="71" spans="1:8" ht="24.75" customHeight="1">
      <c r="A71" s="624" t="s">
        <v>779</v>
      </c>
      <c r="B71" s="616">
        <v>138</v>
      </c>
      <c r="C71" s="618">
        <f t="shared" si="2"/>
        <v>378</v>
      </c>
      <c r="D71" s="618">
        <f>+[29]HOSCA!$E$1035</f>
        <v>378</v>
      </c>
      <c r="E71" s="618">
        <f>+[30]HOSLA!$E$1035</f>
        <v>0</v>
      </c>
      <c r="F71" s="618"/>
      <c r="G71" s="618"/>
      <c r="H71" s="618"/>
    </row>
    <row r="72" spans="1:8" ht="24.75" customHeight="1">
      <c r="A72" s="624" t="s">
        <v>780</v>
      </c>
      <c r="B72" s="616">
        <v>501</v>
      </c>
      <c r="C72" s="617">
        <f t="shared" ref="C72:C91" si="3">SUM(D72:H72)</f>
        <v>1717</v>
      </c>
      <c r="D72" s="618">
        <f>+[29]HOSCA!$E$1038</f>
        <v>366</v>
      </c>
      <c r="E72" s="618">
        <f>+[30]HOSLA!$E$1038</f>
        <v>1351</v>
      </c>
      <c r="F72" s="618"/>
      <c r="G72" s="618"/>
      <c r="H72" s="618"/>
    </row>
    <row r="73" spans="1:8" ht="24.75" customHeight="1">
      <c r="A73" s="624" t="s">
        <v>781</v>
      </c>
      <c r="B73" s="616">
        <v>71</v>
      </c>
      <c r="C73" s="617">
        <f t="shared" si="3"/>
        <v>309</v>
      </c>
      <c r="D73" s="618">
        <f>+[29]HOSCA!$E$1042</f>
        <v>309</v>
      </c>
      <c r="E73" s="618">
        <f>+[30]HOSLA!$E$1042</f>
        <v>0</v>
      </c>
      <c r="F73" s="618"/>
      <c r="G73" s="618"/>
      <c r="H73" s="618"/>
    </row>
    <row r="74" spans="1:8" ht="24.75" customHeight="1">
      <c r="A74" s="624" t="s">
        <v>782</v>
      </c>
      <c r="B74" s="616">
        <v>1</v>
      </c>
      <c r="C74" s="617">
        <f t="shared" si="3"/>
        <v>3</v>
      </c>
      <c r="D74" s="618">
        <f>+[29]HOSCA!$E$1046</f>
        <v>0</v>
      </c>
      <c r="E74" s="618">
        <f>+[30]HOSLA!$E$1046</f>
        <v>3</v>
      </c>
      <c r="F74" s="618"/>
      <c r="G74" s="618"/>
      <c r="H74" s="618"/>
    </row>
    <row r="75" spans="1:8" ht="24.75" customHeight="1">
      <c r="A75" s="624" t="s">
        <v>783</v>
      </c>
      <c r="B75" s="616">
        <v>2396</v>
      </c>
      <c r="C75" s="617">
        <f t="shared" si="3"/>
        <v>894</v>
      </c>
      <c r="D75" s="618">
        <f>+[29]HOSCA!$E$1050</f>
        <v>840</v>
      </c>
      <c r="E75" s="618">
        <f>+[30]HOSLA!$E$1050</f>
        <v>54</v>
      </c>
      <c r="F75" s="618"/>
      <c r="G75" s="618"/>
      <c r="H75" s="618"/>
    </row>
    <row r="76" spans="1:8" ht="24.75" customHeight="1">
      <c r="A76" s="624" t="s">
        <v>784</v>
      </c>
      <c r="B76" s="616">
        <v>2058</v>
      </c>
      <c r="C76" s="617">
        <f t="shared" si="3"/>
        <v>423</v>
      </c>
      <c r="D76" s="618">
        <f>+[29]HOSCA!$E$1053</f>
        <v>0</v>
      </c>
      <c r="E76" s="618">
        <f>+[30]HOSLA!$E$1053</f>
        <v>423</v>
      </c>
      <c r="F76" s="618"/>
      <c r="G76" s="618"/>
      <c r="H76" s="618"/>
    </row>
    <row r="77" spans="1:8" ht="24.75" customHeight="1">
      <c r="A77" s="624" t="s">
        <v>775</v>
      </c>
      <c r="B77" s="616">
        <v>4062</v>
      </c>
      <c r="C77" s="617">
        <f t="shared" si="3"/>
        <v>131</v>
      </c>
      <c r="D77" s="618">
        <f>+[29]HOSCA!$E$1057</f>
        <v>130</v>
      </c>
      <c r="E77" s="618">
        <f>+[30]HOSLA!$E$1057</f>
        <v>1</v>
      </c>
      <c r="F77" s="618"/>
      <c r="G77" s="618"/>
      <c r="H77" s="618"/>
    </row>
    <row r="78" spans="1:8" ht="24.75" customHeight="1">
      <c r="A78" s="624" t="s">
        <v>776</v>
      </c>
      <c r="B78" s="616">
        <v>5</v>
      </c>
      <c r="C78" s="617">
        <f t="shared" si="3"/>
        <v>102</v>
      </c>
      <c r="D78" s="618">
        <f>+[29]HOSCA!$E$1060</f>
        <v>102</v>
      </c>
      <c r="E78" s="618">
        <f>+[30]HOSLA!$E$1060</f>
        <v>0</v>
      </c>
      <c r="F78" s="618"/>
      <c r="G78" s="618"/>
      <c r="H78" s="618"/>
    </row>
    <row r="79" spans="1:8" ht="25.5" customHeight="1">
      <c r="A79" s="624" t="s">
        <v>777</v>
      </c>
      <c r="B79" s="616">
        <v>3</v>
      </c>
      <c r="C79" s="617">
        <f t="shared" si="3"/>
        <v>10</v>
      </c>
      <c r="D79" s="618">
        <f>+[29]HOSCA!$E$1066</f>
        <v>6</v>
      </c>
      <c r="E79" s="618">
        <f>+[30]HOSLA!$E$1066</f>
        <v>4</v>
      </c>
      <c r="F79" s="618"/>
      <c r="G79" s="618"/>
      <c r="H79" s="618"/>
    </row>
    <row r="80" spans="1:8" ht="25.5" customHeight="1">
      <c r="A80" s="624" t="s">
        <v>778</v>
      </c>
      <c r="B80" s="616">
        <v>5</v>
      </c>
      <c r="C80" s="617">
        <f t="shared" si="3"/>
        <v>27</v>
      </c>
      <c r="D80" s="618">
        <f>+[29]HOSCA!$E$1072</f>
        <v>12</v>
      </c>
      <c r="E80" s="618">
        <f>+[30]HOSLA!$E$1072</f>
        <v>15</v>
      </c>
      <c r="F80" s="618"/>
      <c r="G80" s="618"/>
      <c r="H80" s="618"/>
    </row>
    <row r="81" spans="1:8" ht="25.5" customHeight="1">
      <c r="A81" s="1140" t="s">
        <v>1379</v>
      </c>
      <c r="B81" s="616">
        <v>41</v>
      </c>
      <c r="C81" s="617">
        <f t="shared" si="3"/>
        <v>120</v>
      </c>
      <c r="D81" s="618">
        <f>+[29]HOSCA!$E$1077</f>
        <v>62</v>
      </c>
      <c r="E81" s="618">
        <f>+[30]HOSLA!$E$1077</f>
        <v>58</v>
      </c>
      <c r="F81" s="618"/>
      <c r="G81" s="618"/>
      <c r="H81" s="618"/>
    </row>
    <row r="82" spans="1:8" ht="25.5" customHeight="1">
      <c r="A82" s="1140" t="s">
        <v>1380</v>
      </c>
      <c r="B82" s="616">
        <v>0</v>
      </c>
      <c r="C82" s="617">
        <f t="shared" si="3"/>
        <v>0</v>
      </c>
      <c r="D82" s="618">
        <f>+[29]HOSCA!$E$1087</f>
        <v>0</v>
      </c>
      <c r="E82" s="618">
        <f>+[30]HOSLA!$E$1087</f>
        <v>0</v>
      </c>
      <c r="F82" s="618"/>
      <c r="G82" s="618"/>
      <c r="H82" s="618"/>
    </row>
    <row r="83" spans="1:8" ht="25.5" customHeight="1">
      <c r="A83" s="1140" t="s">
        <v>1381</v>
      </c>
      <c r="B83" s="616">
        <v>9</v>
      </c>
      <c r="C83" s="617">
        <f t="shared" si="3"/>
        <v>31</v>
      </c>
      <c r="D83" s="618">
        <f>+[29]HOSCA!$E$1099</f>
        <v>0</v>
      </c>
      <c r="E83" s="618">
        <f>+[30]HOSLA!$E$1099</f>
        <v>31</v>
      </c>
      <c r="F83" s="618"/>
      <c r="G83" s="618"/>
      <c r="H83" s="618"/>
    </row>
    <row r="84" spans="1:8" ht="25.5" customHeight="1">
      <c r="A84" s="1140" t="s">
        <v>1382</v>
      </c>
      <c r="B84" s="616">
        <v>0</v>
      </c>
      <c r="C84" s="617">
        <f t="shared" si="3"/>
        <v>0</v>
      </c>
      <c r="D84" s="618">
        <f>+[29]HOSCA!$E$1115</f>
        <v>0</v>
      </c>
      <c r="E84" s="618">
        <f>+[30]HOSLA!$E$1115</f>
        <v>0</v>
      </c>
      <c r="F84" s="618"/>
      <c r="G84" s="618"/>
      <c r="H84" s="618"/>
    </row>
    <row r="85" spans="1:8" ht="26.25" customHeight="1">
      <c r="A85" s="1140" t="s">
        <v>1383</v>
      </c>
      <c r="B85" s="616">
        <v>0</v>
      </c>
      <c r="C85" s="617">
        <f t="shared" si="3"/>
        <v>214</v>
      </c>
      <c r="D85" s="618">
        <f>+[29]HOSCA!$E$1123</f>
        <v>214</v>
      </c>
      <c r="E85" s="618">
        <f>+[30]HOSLA!$E$1123</f>
        <v>0</v>
      </c>
      <c r="F85" s="618"/>
      <c r="G85" s="618"/>
      <c r="H85" s="618"/>
    </row>
    <row r="86" spans="1:8" ht="26.25" customHeight="1">
      <c r="A86" s="1140" t="s">
        <v>1384</v>
      </c>
      <c r="B86" s="616">
        <v>87</v>
      </c>
      <c r="C86" s="617">
        <f t="shared" si="3"/>
        <v>146</v>
      </c>
      <c r="D86" s="618">
        <f>+[29]HOSCA!$E$1130</f>
        <v>0</v>
      </c>
      <c r="E86" s="618">
        <f>+[30]HOSLA!$E$1130</f>
        <v>0</v>
      </c>
      <c r="F86" s="618"/>
      <c r="G86" s="618">
        <f>+[33]PSIQ.!$E$1130</f>
        <v>146</v>
      </c>
      <c r="H86" s="618"/>
    </row>
    <row r="87" spans="1:8" ht="26.25" customHeight="1">
      <c r="A87" s="1140" t="s">
        <v>1385</v>
      </c>
      <c r="B87" s="616">
        <v>2534</v>
      </c>
      <c r="C87" s="617">
        <f t="shared" si="3"/>
        <v>0</v>
      </c>
      <c r="D87" s="618">
        <f>+[29]HOSCA!$E$1134</f>
        <v>0</v>
      </c>
      <c r="E87" s="618">
        <f>+[30]HOSLA!$E$1134</f>
        <v>0</v>
      </c>
      <c r="F87" s="618"/>
      <c r="G87" s="618"/>
      <c r="H87" s="618"/>
    </row>
    <row r="88" spans="1:8" ht="26.25" customHeight="1">
      <c r="A88" s="1140" t="s">
        <v>1386</v>
      </c>
      <c r="B88" s="616">
        <v>3</v>
      </c>
      <c r="C88" s="617">
        <f t="shared" si="3"/>
        <v>6</v>
      </c>
      <c r="D88" s="618">
        <f>+[29]HOSCA!$E$1138</f>
        <v>6</v>
      </c>
      <c r="E88" s="618">
        <f>+[30]HOSLA!$E$1138</f>
        <v>0</v>
      </c>
      <c r="F88" s="618"/>
      <c r="G88" s="618"/>
      <c r="H88" s="618"/>
    </row>
    <row r="89" spans="1:8" ht="29.25" customHeight="1">
      <c r="A89" s="1140" t="s">
        <v>1387</v>
      </c>
      <c r="B89" s="616">
        <v>53</v>
      </c>
      <c r="C89" s="617">
        <f t="shared" si="3"/>
        <v>1172</v>
      </c>
      <c r="D89" s="618">
        <f>+[29]HOSCA!$E$1145</f>
        <v>0</v>
      </c>
      <c r="E89" s="618">
        <f>+[30]HOSLA!$E$1145</f>
        <v>1172</v>
      </c>
      <c r="F89" s="618"/>
      <c r="G89" s="618"/>
      <c r="H89" s="618"/>
    </row>
    <row r="90" spans="1:8" ht="29.25" customHeight="1">
      <c r="A90" s="1140" t="s">
        <v>1388</v>
      </c>
      <c r="B90" s="616">
        <v>0</v>
      </c>
      <c r="C90" s="617">
        <f t="shared" si="3"/>
        <v>153</v>
      </c>
      <c r="D90" s="618">
        <f>+[29]HOSCA!$E$1154</f>
        <v>153</v>
      </c>
      <c r="E90" s="618">
        <f>+[30]HOSLA!$E$1154</f>
        <v>0</v>
      </c>
      <c r="F90" s="618"/>
      <c r="G90" s="618"/>
      <c r="H90" s="618"/>
    </row>
    <row r="91" spans="1:8" ht="29.25" customHeight="1">
      <c r="A91" s="1140" t="s">
        <v>1389</v>
      </c>
      <c r="B91" s="616">
        <v>341</v>
      </c>
      <c r="C91" s="625">
        <f t="shared" si="3"/>
        <v>13</v>
      </c>
      <c r="D91" s="626">
        <f>+[29]HOSCA!$E$1161</f>
        <v>7</v>
      </c>
      <c r="E91" s="626">
        <f>+[30]HOSLA!$E$1161</f>
        <v>6</v>
      </c>
      <c r="F91" s="626"/>
      <c r="G91" s="626"/>
      <c r="H91" s="626"/>
    </row>
  </sheetData>
  <mergeCells count="4">
    <mergeCell ref="D4:H4"/>
    <mergeCell ref="A1:H1"/>
    <mergeCell ref="A2:H2"/>
    <mergeCell ref="C5:H5"/>
  </mergeCells>
  <phoneticPr fontId="19" type="noConversion"/>
  <pageMargins left="0.98425196850393704" right="0.59055118110236227" top="0.39370078740157483" bottom="0.59055118110236227" header="0" footer="0"/>
  <pageSetup paperSize="5" scale="55" orientation="portrait" horizontalDpi="300" verticalDpi="300" r:id="rId1"/>
  <headerFooter alignWithMargins="0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8"/>
  <sheetViews>
    <sheetView topLeftCell="A16" workbookViewId="0">
      <selection activeCell="B19" sqref="B19"/>
    </sheetView>
  </sheetViews>
  <sheetFormatPr baseColWidth="10" defaultRowHeight="12.75"/>
  <cols>
    <col min="1" max="1" width="20.28515625" customWidth="1"/>
    <col min="5" max="7" width="12.7109375" customWidth="1"/>
    <col min="9" max="9" width="14.140625" customWidth="1"/>
  </cols>
  <sheetData>
    <row r="1" spans="1:10" ht="15.75">
      <c r="A1" s="1272" t="s">
        <v>1454</v>
      </c>
      <c r="B1" s="1272"/>
      <c r="C1" s="1272"/>
      <c r="D1" s="1272"/>
      <c r="E1" s="1272"/>
      <c r="F1" s="1272"/>
      <c r="G1" s="1272"/>
      <c r="H1" s="1272"/>
      <c r="I1" s="1272"/>
      <c r="J1" s="1272"/>
    </row>
    <row r="2" spans="1:10">
      <c r="A2" s="627"/>
      <c r="B2" s="627"/>
      <c r="C2" s="627"/>
      <c r="D2" s="627"/>
      <c r="E2" s="627"/>
      <c r="F2" s="627"/>
      <c r="G2" s="627"/>
      <c r="H2" s="627"/>
      <c r="I2" s="627"/>
      <c r="J2" s="627"/>
    </row>
    <row r="3" spans="1:10">
      <c r="A3" s="628"/>
      <c r="B3" s="629"/>
      <c r="C3" s="629"/>
      <c r="D3" s="629"/>
      <c r="E3" s="629"/>
      <c r="F3" s="629"/>
      <c r="G3" s="629"/>
      <c r="H3" s="629"/>
      <c r="I3" s="629"/>
      <c r="J3" s="629"/>
    </row>
    <row r="4" spans="1:10" ht="29.25" customHeight="1">
      <c r="A4" s="630" t="s">
        <v>1230</v>
      </c>
      <c r="B4" s="631" t="s">
        <v>1231</v>
      </c>
      <c r="C4" s="631" t="s">
        <v>1329</v>
      </c>
      <c r="D4" s="631" t="s">
        <v>1232</v>
      </c>
      <c r="E4" s="631" t="s">
        <v>1233</v>
      </c>
      <c r="F4" s="631" t="s">
        <v>1355</v>
      </c>
      <c r="G4" s="631" t="s">
        <v>1356</v>
      </c>
      <c r="H4" s="632" t="s">
        <v>571</v>
      </c>
      <c r="I4" s="1273" t="s">
        <v>1234</v>
      </c>
      <c r="J4" s="1274"/>
    </row>
    <row r="5" spans="1:10" ht="21.75" customHeight="1">
      <c r="A5" s="633" t="s">
        <v>1235</v>
      </c>
      <c r="B5" s="634">
        <v>429</v>
      </c>
      <c r="C5" s="634">
        <v>43306</v>
      </c>
      <c r="D5" s="634">
        <v>54</v>
      </c>
      <c r="E5" s="634">
        <v>249</v>
      </c>
      <c r="F5" s="634">
        <v>77</v>
      </c>
      <c r="G5" s="634">
        <v>18</v>
      </c>
      <c r="H5" s="634">
        <f>SUM(B5:G5)</f>
        <v>44133</v>
      </c>
      <c r="I5" s="634">
        <v>431</v>
      </c>
      <c r="J5" s="635">
        <f>+I5/B5*100</f>
        <v>100.46620046620048</v>
      </c>
    </row>
    <row r="6" spans="1:10" ht="21.75" customHeight="1">
      <c r="A6" s="633" t="s">
        <v>1236</v>
      </c>
      <c r="B6" s="634">
        <v>111</v>
      </c>
      <c r="C6" s="634">
        <v>11896</v>
      </c>
      <c r="D6" s="634">
        <v>4</v>
      </c>
      <c r="E6" s="634">
        <v>35</v>
      </c>
      <c r="F6" s="634">
        <v>156</v>
      </c>
      <c r="G6" s="634">
        <v>3</v>
      </c>
      <c r="H6" s="634">
        <f t="shared" ref="H6:H25" si="0">SUM(B6:G6)</f>
        <v>12205</v>
      </c>
      <c r="I6" s="634">
        <v>114</v>
      </c>
      <c r="J6" s="635">
        <f t="shared" ref="J6:J26" si="1">+I6/B6*100</f>
        <v>102.70270270270269</v>
      </c>
    </row>
    <row r="7" spans="1:10" ht="21.75" customHeight="1">
      <c r="A7" s="633" t="s">
        <v>1237</v>
      </c>
      <c r="B7" s="634">
        <v>98</v>
      </c>
      <c r="C7" s="634">
        <v>17207</v>
      </c>
      <c r="D7" s="634">
        <v>12</v>
      </c>
      <c r="E7" s="634">
        <v>62</v>
      </c>
      <c r="F7" s="634">
        <v>171</v>
      </c>
      <c r="G7" s="634">
        <v>0</v>
      </c>
      <c r="H7" s="634">
        <f t="shared" si="0"/>
        <v>17550</v>
      </c>
      <c r="I7" s="634">
        <v>98</v>
      </c>
      <c r="J7" s="635">
        <f t="shared" si="1"/>
        <v>100</v>
      </c>
    </row>
    <row r="8" spans="1:10" ht="21.75" customHeight="1">
      <c r="A8" s="633" t="s">
        <v>402</v>
      </c>
      <c r="B8" s="634"/>
      <c r="C8" s="634"/>
      <c r="D8" s="634"/>
      <c r="E8" s="634"/>
      <c r="F8" s="634"/>
      <c r="G8" s="634"/>
      <c r="H8" s="634">
        <f t="shared" si="0"/>
        <v>0</v>
      </c>
      <c r="I8" s="634"/>
      <c r="J8" s="635"/>
    </row>
    <row r="9" spans="1:10" ht="21.75" customHeight="1">
      <c r="A9" s="633" t="s">
        <v>1238</v>
      </c>
      <c r="B9" s="634">
        <v>33</v>
      </c>
      <c r="C9" s="634">
        <v>3239</v>
      </c>
      <c r="D9" s="634"/>
      <c r="E9" s="634">
        <v>25</v>
      </c>
      <c r="F9" s="634"/>
      <c r="G9" s="634"/>
      <c r="H9" s="634">
        <f t="shared" si="0"/>
        <v>3297</v>
      </c>
      <c r="I9" s="634">
        <v>33</v>
      </c>
      <c r="J9" s="635">
        <f t="shared" si="1"/>
        <v>100</v>
      </c>
    </row>
    <row r="10" spans="1:10" ht="21.75" customHeight="1">
      <c r="A10" s="633" t="s">
        <v>1239</v>
      </c>
      <c r="B10" s="634">
        <v>26</v>
      </c>
      <c r="C10" s="634">
        <v>2983</v>
      </c>
      <c r="D10" s="634">
        <v>3</v>
      </c>
      <c r="E10" s="634">
        <v>30</v>
      </c>
      <c r="F10" s="634">
        <v>7</v>
      </c>
      <c r="G10" s="634">
        <v>0</v>
      </c>
      <c r="H10" s="634">
        <f t="shared" si="0"/>
        <v>3049</v>
      </c>
      <c r="I10" s="634">
        <v>28</v>
      </c>
      <c r="J10" s="635">
        <f t="shared" si="1"/>
        <v>107.69230769230769</v>
      </c>
    </row>
    <row r="11" spans="1:10" ht="21.75" customHeight="1">
      <c r="A11" s="633" t="s">
        <v>1240</v>
      </c>
      <c r="B11" s="634">
        <v>19</v>
      </c>
      <c r="C11" s="634">
        <v>2180</v>
      </c>
      <c r="D11" s="634">
        <v>5</v>
      </c>
      <c r="E11" s="634">
        <v>16</v>
      </c>
      <c r="F11" s="634"/>
      <c r="G11" s="634"/>
      <c r="H11" s="634">
        <f t="shared" si="0"/>
        <v>2220</v>
      </c>
      <c r="I11" s="634">
        <v>19</v>
      </c>
      <c r="J11" s="635">
        <f t="shared" si="1"/>
        <v>100</v>
      </c>
    </row>
    <row r="12" spans="1:10" ht="21.75" customHeight="1">
      <c r="A12" s="633" t="s">
        <v>1241</v>
      </c>
      <c r="B12" s="634">
        <v>504</v>
      </c>
      <c r="C12" s="634">
        <v>6210</v>
      </c>
      <c r="D12" s="634">
        <v>19</v>
      </c>
      <c r="E12" s="634">
        <v>233</v>
      </c>
      <c r="F12" s="634">
        <v>182</v>
      </c>
      <c r="G12" s="634">
        <v>11</v>
      </c>
      <c r="H12" s="634">
        <f t="shared" si="0"/>
        <v>7159</v>
      </c>
      <c r="I12" s="634">
        <v>521</v>
      </c>
      <c r="J12" s="635">
        <f t="shared" si="1"/>
        <v>103.37301587301589</v>
      </c>
    </row>
    <row r="13" spans="1:10" ht="21.75" customHeight="1">
      <c r="A13" s="633" t="s">
        <v>1242</v>
      </c>
      <c r="B13" s="634">
        <v>57</v>
      </c>
      <c r="C13" s="634">
        <v>12862</v>
      </c>
      <c r="D13" s="634">
        <v>12</v>
      </c>
      <c r="E13" s="634">
        <v>63</v>
      </c>
      <c r="F13" s="634">
        <v>1841</v>
      </c>
      <c r="G13" s="634"/>
      <c r="H13" s="634">
        <f t="shared" si="0"/>
        <v>14835</v>
      </c>
      <c r="I13" s="634">
        <v>57</v>
      </c>
      <c r="J13" s="635">
        <f t="shared" si="1"/>
        <v>100</v>
      </c>
    </row>
    <row r="14" spans="1:10" ht="21.75" customHeight="1">
      <c r="A14" s="633" t="s">
        <v>1243</v>
      </c>
      <c r="B14" s="634">
        <v>51</v>
      </c>
      <c r="C14" s="634">
        <v>2295</v>
      </c>
      <c r="D14" s="634">
        <v>14</v>
      </c>
      <c r="E14" s="634">
        <v>65</v>
      </c>
      <c r="F14" s="634">
        <v>6</v>
      </c>
      <c r="G14" s="634"/>
      <c r="H14" s="634">
        <f t="shared" si="0"/>
        <v>2431</v>
      </c>
      <c r="I14" s="634">
        <v>51</v>
      </c>
      <c r="J14" s="635">
        <f>+I14/B14*100</f>
        <v>100</v>
      </c>
    </row>
    <row r="15" spans="1:10" ht="21.75" customHeight="1">
      <c r="A15" s="633" t="s">
        <v>403</v>
      </c>
      <c r="B15" s="634">
        <v>6</v>
      </c>
      <c r="C15" s="634">
        <v>1207</v>
      </c>
      <c r="D15" s="634">
        <v>1</v>
      </c>
      <c r="E15" s="634">
        <v>23</v>
      </c>
      <c r="F15" s="634"/>
      <c r="G15" s="634"/>
      <c r="H15" s="634">
        <f t="shared" si="0"/>
        <v>1237</v>
      </c>
      <c r="I15" s="634">
        <v>6</v>
      </c>
      <c r="J15" s="635">
        <f>+I15/B15*100</f>
        <v>100</v>
      </c>
    </row>
    <row r="16" spans="1:10" ht="21.75" customHeight="1">
      <c r="A16" s="633" t="s">
        <v>1244</v>
      </c>
      <c r="B16" s="634">
        <v>22</v>
      </c>
      <c r="C16" s="634">
        <v>1549</v>
      </c>
      <c r="D16" s="634">
        <v>4</v>
      </c>
      <c r="E16" s="634">
        <v>9</v>
      </c>
      <c r="F16" s="634">
        <v>1</v>
      </c>
      <c r="G16" s="634"/>
      <c r="H16" s="634">
        <f t="shared" si="0"/>
        <v>1585</v>
      </c>
      <c r="I16" s="634">
        <v>21</v>
      </c>
      <c r="J16" s="635">
        <f t="shared" si="1"/>
        <v>95.454545454545453</v>
      </c>
    </row>
    <row r="17" spans="1:10" ht="21.75" customHeight="1">
      <c r="A17" s="633" t="s">
        <v>1245</v>
      </c>
      <c r="B17" s="634">
        <v>39</v>
      </c>
      <c r="C17" s="634">
        <v>4444</v>
      </c>
      <c r="D17" s="634">
        <v>2</v>
      </c>
      <c r="E17" s="634">
        <v>24</v>
      </c>
      <c r="F17" s="634">
        <v>46</v>
      </c>
      <c r="G17" s="634"/>
      <c r="H17" s="634">
        <f t="shared" si="0"/>
        <v>4555</v>
      </c>
      <c r="I17" s="634">
        <v>39</v>
      </c>
      <c r="J17" s="635">
        <f t="shared" si="1"/>
        <v>100</v>
      </c>
    </row>
    <row r="18" spans="1:10" ht="21.75" customHeight="1">
      <c r="A18" s="633" t="s">
        <v>1246</v>
      </c>
      <c r="B18" s="634">
        <v>17</v>
      </c>
      <c r="C18" s="634">
        <v>8060</v>
      </c>
      <c r="D18" s="634">
        <v>2</v>
      </c>
      <c r="E18" s="634">
        <v>17</v>
      </c>
      <c r="F18" s="634"/>
      <c r="G18" s="634"/>
      <c r="H18" s="634">
        <f t="shared" si="0"/>
        <v>8096</v>
      </c>
      <c r="I18" s="634">
        <v>17</v>
      </c>
      <c r="J18" s="635">
        <f t="shared" si="1"/>
        <v>100</v>
      </c>
    </row>
    <row r="19" spans="1:10" ht="21.75" customHeight="1">
      <c r="A19" s="633" t="s">
        <v>1247</v>
      </c>
      <c r="B19" s="634">
        <v>44</v>
      </c>
      <c r="C19" s="634">
        <v>880</v>
      </c>
      <c r="D19" s="634">
        <v>1</v>
      </c>
      <c r="E19" s="634">
        <v>35</v>
      </c>
      <c r="F19" s="634">
        <v>32</v>
      </c>
      <c r="G19" s="634">
        <v>3</v>
      </c>
      <c r="H19" s="634">
        <f t="shared" si="0"/>
        <v>995</v>
      </c>
      <c r="I19" s="634">
        <v>43</v>
      </c>
      <c r="J19" s="635">
        <f t="shared" si="1"/>
        <v>97.727272727272734</v>
      </c>
    </row>
    <row r="20" spans="1:10" ht="21.75" customHeight="1">
      <c r="A20" s="633" t="s">
        <v>1248</v>
      </c>
      <c r="B20" s="634">
        <v>32</v>
      </c>
      <c r="C20" s="634">
        <v>681</v>
      </c>
      <c r="D20" s="634">
        <v>4</v>
      </c>
      <c r="E20" s="634">
        <v>41</v>
      </c>
      <c r="F20" s="634">
        <v>1</v>
      </c>
      <c r="G20" s="634"/>
      <c r="H20" s="634">
        <f t="shared" si="0"/>
        <v>759</v>
      </c>
      <c r="I20" s="634">
        <v>33</v>
      </c>
      <c r="J20" s="635">
        <f t="shared" si="1"/>
        <v>103.125</v>
      </c>
    </row>
    <row r="21" spans="1:10" ht="21.75" customHeight="1">
      <c r="A21" s="633" t="s">
        <v>317</v>
      </c>
      <c r="B21" s="634"/>
      <c r="C21" s="634"/>
      <c r="D21" s="634"/>
      <c r="E21" s="634"/>
      <c r="F21" s="634"/>
      <c r="G21" s="634"/>
      <c r="H21" s="634">
        <f t="shared" si="0"/>
        <v>0</v>
      </c>
      <c r="I21" s="634"/>
      <c r="J21" s="635"/>
    </row>
    <row r="22" spans="1:10" ht="21.75" customHeight="1">
      <c r="A22" s="633" t="s">
        <v>1249</v>
      </c>
      <c r="B22" s="634">
        <v>28</v>
      </c>
      <c r="C22" s="634">
        <v>1167</v>
      </c>
      <c r="D22" s="634">
        <v>2</v>
      </c>
      <c r="E22" s="634">
        <v>13</v>
      </c>
      <c r="F22" s="634">
        <v>2</v>
      </c>
      <c r="G22" s="634"/>
      <c r="H22" s="634">
        <f t="shared" si="0"/>
        <v>1212</v>
      </c>
      <c r="I22" s="634">
        <v>28</v>
      </c>
      <c r="J22" s="635">
        <f t="shared" si="1"/>
        <v>100</v>
      </c>
    </row>
    <row r="23" spans="1:10" ht="21.75" customHeight="1">
      <c r="A23" s="633" t="s">
        <v>404</v>
      </c>
      <c r="B23" s="634">
        <v>64</v>
      </c>
      <c r="C23" s="634">
        <v>1053</v>
      </c>
      <c r="D23" s="634">
        <v>4</v>
      </c>
      <c r="E23" s="634">
        <v>54</v>
      </c>
      <c r="F23" s="634">
        <v>44</v>
      </c>
      <c r="G23" s="634"/>
      <c r="H23" s="634">
        <f t="shared" si="0"/>
        <v>1219</v>
      </c>
      <c r="I23" s="634">
        <v>61</v>
      </c>
      <c r="J23" s="635">
        <f>+I23/B23*100</f>
        <v>95.3125</v>
      </c>
    </row>
    <row r="24" spans="1:10" ht="21.75" customHeight="1">
      <c r="A24" s="633" t="s">
        <v>1250</v>
      </c>
      <c r="B24" s="634">
        <v>76</v>
      </c>
      <c r="C24" s="634">
        <v>6836</v>
      </c>
      <c r="D24" s="634">
        <v>5</v>
      </c>
      <c r="E24" s="634">
        <v>23</v>
      </c>
      <c r="F24" s="634">
        <v>41</v>
      </c>
      <c r="G24" s="634"/>
      <c r="H24" s="634">
        <f t="shared" si="0"/>
        <v>6981</v>
      </c>
      <c r="I24" s="634">
        <v>79</v>
      </c>
      <c r="J24" s="635">
        <f t="shared" si="1"/>
        <v>103.94736842105263</v>
      </c>
    </row>
    <row r="25" spans="1:10" ht="21.75" customHeight="1">
      <c r="A25" s="633" t="s">
        <v>1251</v>
      </c>
      <c r="B25" s="634">
        <v>17</v>
      </c>
      <c r="C25" s="634">
        <v>3100</v>
      </c>
      <c r="D25" s="634">
        <v>3</v>
      </c>
      <c r="E25" s="634">
        <v>24</v>
      </c>
      <c r="F25" s="634">
        <v>1</v>
      </c>
      <c r="G25" s="634"/>
      <c r="H25" s="634">
        <f t="shared" si="0"/>
        <v>3145</v>
      </c>
      <c r="I25" s="634">
        <v>17</v>
      </c>
      <c r="J25" s="635">
        <f t="shared" si="1"/>
        <v>100</v>
      </c>
    </row>
    <row r="26" spans="1:10" ht="21.75" customHeight="1">
      <c r="A26" s="632" t="s">
        <v>571</v>
      </c>
      <c r="B26" s="634">
        <f t="shared" ref="B26:I26" si="2">SUM(B5:B25)</f>
        <v>1673</v>
      </c>
      <c r="C26" s="634">
        <f t="shared" si="2"/>
        <v>131155</v>
      </c>
      <c r="D26" s="634">
        <f t="shared" si="2"/>
        <v>151</v>
      </c>
      <c r="E26" s="634">
        <f t="shared" si="2"/>
        <v>1041</v>
      </c>
      <c r="F26" s="634">
        <f t="shared" si="2"/>
        <v>2608</v>
      </c>
      <c r="G26" s="634">
        <f t="shared" si="2"/>
        <v>35</v>
      </c>
      <c r="H26" s="634">
        <f t="shared" si="2"/>
        <v>136663</v>
      </c>
      <c r="I26" s="634">
        <f t="shared" si="2"/>
        <v>1696</v>
      </c>
      <c r="J26" s="635">
        <f t="shared" si="1"/>
        <v>101.3747758517633</v>
      </c>
    </row>
    <row r="27" spans="1:10">
      <c r="E27" s="1083"/>
      <c r="F27" s="1083"/>
      <c r="G27" s="1083"/>
    </row>
    <row r="28" spans="1:10">
      <c r="B28" s="119"/>
      <c r="C28" s="119"/>
      <c r="D28" s="119"/>
      <c r="E28" s="119"/>
      <c r="F28" s="119"/>
      <c r="G28" s="119"/>
      <c r="H28" s="119"/>
      <c r="I28" s="119"/>
      <c r="J28" s="119"/>
    </row>
  </sheetData>
  <mergeCells count="2">
    <mergeCell ref="A1:J1"/>
    <mergeCell ref="I4:J4"/>
  </mergeCells>
  <phoneticPr fontId="19" type="noConversion"/>
  <pageMargins left="1.9685039370078741" right="0.78740157480314965" top="0.43" bottom="0.48" header="0" footer="0"/>
  <pageSetup paperSize="5" orientation="landscape" horizontalDpi="300" verticalDpi="300" r:id="rId1"/>
  <headerFooter alignWithMargins="0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06"/>
  <sheetViews>
    <sheetView topLeftCell="E28" workbookViewId="0">
      <selection activeCell="N3" sqref="N3"/>
    </sheetView>
  </sheetViews>
  <sheetFormatPr baseColWidth="10" defaultRowHeight="12"/>
  <cols>
    <col min="1" max="1" width="13" style="406" customWidth="1"/>
    <col min="2" max="2" width="17.5703125" style="406" customWidth="1"/>
    <col min="3" max="8" width="9.5703125" style="406" customWidth="1"/>
    <col min="9" max="9" width="11.42578125" style="406"/>
    <col min="10" max="10" width="9.42578125" style="406" customWidth="1"/>
    <col min="11" max="16" width="7.5703125" style="406" customWidth="1"/>
    <col min="17" max="16384" width="11.42578125" style="406"/>
  </cols>
  <sheetData>
    <row r="1" spans="1:16">
      <c r="A1" s="1225" t="s">
        <v>1252</v>
      </c>
      <c r="B1" s="1225"/>
      <c r="C1" s="1225"/>
      <c r="D1" s="1225"/>
      <c r="E1" s="1225"/>
      <c r="F1" s="1225"/>
      <c r="G1" s="1225"/>
      <c r="H1" s="1225"/>
      <c r="J1" s="406" t="s">
        <v>1253</v>
      </c>
    </row>
    <row r="2" spans="1:16">
      <c r="A2" s="636"/>
      <c r="B2" s="636"/>
      <c r="C2" s="636"/>
      <c r="D2" s="636"/>
      <c r="E2" s="636"/>
      <c r="F2" s="636"/>
      <c r="G2" s="636"/>
      <c r="H2" s="636"/>
      <c r="K2" s="406">
        <v>2009</v>
      </c>
      <c r="L2" s="406">
        <v>2010</v>
      </c>
      <c r="M2" s="406">
        <v>2011</v>
      </c>
      <c r="N2" s="406">
        <v>2012</v>
      </c>
      <c r="O2" s="406">
        <v>2013</v>
      </c>
      <c r="P2" s="406">
        <v>2014</v>
      </c>
    </row>
    <row r="3" spans="1:16">
      <c r="A3" s="1225" t="s">
        <v>970</v>
      </c>
      <c r="B3" s="1225"/>
      <c r="C3" s="1225"/>
      <c r="D3" s="1225"/>
      <c r="E3" s="1225"/>
      <c r="F3" s="1225"/>
      <c r="G3" s="1225"/>
      <c r="H3" s="1225"/>
      <c r="J3" s="406" t="s">
        <v>1254</v>
      </c>
      <c r="K3" s="406">
        <v>258574</v>
      </c>
      <c r="L3" s="406">
        <v>258574</v>
      </c>
      <c r="M3" s="406">
        <v>264902</v>
      </c>
      <c r="N3" s="406">
        <v>267912</v>
      </c>
      <c r="O3" s="406">
        <v>270947</v>
      </c>
      <c r="P3" s="406">
        <f>+P8+P15</f>
        <v>273968</v>
      </c>
    </row>
    <row r="4" spans="1:16">
      <c r="J4" s="406" t="s">
        <v>1255</v>
      </c>
      <c r="K4" s="406">
        <v>72563</v>
      </c>
      <c r="L4" s="406">
        <v>72563</v>
      </c>
      <c r="M4" s="406">
        <v>74959</v>
      </c>
      <c r="N4" s="406">
        <v>76130</v>
      </c>
      <c r="O4" s="406">
        <v>77305</v>
      </c>
      <c r="P4" s="529">
        <f>+'7'!$F$20</f>
        <v>78473</v>
      </c>
    </row>
    <row r="5" spans="1:16">
      <c r="J5" s="406" t="s">
        <v>1256</v>
      </c>
      <c r="K5" s="406">
        <v>16966</v>
      </c>
      <c r="L5" s="406">
        <v>16966</v>
      </c>
      <c r="M5" s="406">
        <v>17447</v>
      </c>
      <c r="N5" s="406">
        <v>17677</v>
      </c>
      <c r="O5" s="406">
        <v>17905</v>
      </c>
      <c r="P5" s="529">
        <f>+'7'!$G$20</f>
        <v>18141</v>
      </c>
    </row>
    <row r="6" spans="1:16">
      <c r="J6" s="406" t="s">
        <v>1257</v>
      </c>
      <c r="K6" s="406">
        <v>11031</v>
      </c>
      <c r="L6" s="406">
        <v>11031</v>
      </c>
      <c r="M6" s="406">
        <v>11078</v>
      </c>
      <c r="N6" s="406">
        <v>11091</v>
      </c>
      <c r="O6" s="406">
        <v>11107</v>
      </c>
      <c r="P6" s="529">
        <f>+'7'!$H$20</f>
        <v>11112</v>
      </c>
    </row>
    <row r="7" spans="1:16">
      <c r="J7" s="406" t="s">
        <v>616</v>
      </c>
      <c r="K7" s="406">
        <v>7800</v>
      </c>
      <c r="L7" s="406">
        <v>7800</v>
      </c>
      <c r="M7" s="406">
        <v>8001</v>
      </c>
      <c r="N7" s="406">
        <v>8084</v>
      </c>
      <c r="O7" s="406">
        <v>8179</v>
      </c>
      <c r="P7" s="529">
        <f>+'7'!$I$20</f>
        <v>8272</v>
      </c>
    </row>
    <row r="8" spans="1:16" s="515" customFormat="1" ht="21.75" customHeight="1">
      <c r="A8" s="536" t="s">
        <v>590</v>
      </c>
      <c r="B8" s="637" t="s">
        <v>926</v>
      </c>
      <c r="C8" s="387">
        <v>2009</v>
      </c>
      <c r="D8" s="387">
        <v>2010</v>
      </c>
      <c r="E8" s="387">
        <v>2011</v>
      </c>
      <c r="F8" s="387">
        <v>2012</v>
      </c>
      <c r="G8" s="1177">
        <v>2013</v>
      </c>
      <c r="H8" s="1177">
        <v>2014</v>
      </c>
      <c r="J8" s="515" t="s">
        <v>1258</v>
      </c>
      <c r="K8" s="515">
        <v>108360</v>
      </c>
      <c r="L8" s="515">
        <v>108360</v>
      </c>
      <c r="M8" s="515">
        <v>111485</v>
      </c>
      <c r="N8" s="515">
        <v>112982</v>
      </c>
      <c r="O8" s="515">
        <v>114496</v>
      </c>
      <c r="P8" s="515">
        <f>SUM(P4:P7)</f>
        <v>115998</v>
      </c>
    </row>
    <row r="9" spans="1:16" s="515" customFormat="1" ht="21.75" customHeight="1">
      <c r="A9" s="499" t="s">
        <v>1022</v>
      </c>
      <c r="B9" s="350" t="s">
        <v>1259</v>
      </c>
      <c r="C9" s="500">
        <v>24930</v>
      </c>
      <c r="D9" s="500">
        <v>24255</v>
      </c>
      <c r="E9" s="500">
        <v>19279</v>
      </c>
      <c r="F9" s="500">
        <v>23029</v>
      </c>
      <c r="G9" s="500">
        <v>19097</v>
      </c>
      <c r="H9" s="500">
        <f>+'57'!AK8</f>
        <v>20601</v>
      </c>
      <c r="J9" s="515" t="s">
        <v>1260</v>
      </c>
      <c r="K9" s="515">
        <v>75302</v>
      </c>
      <c r="L9" s="515">
        <v>75302</v>
      </c>
      <c r="M9" s="515">
        <v>77394</v>
      </c>
      <c r="N9" s="515">
        <v>78428</v>
      </c>
      <c r="O9" s="515">
        <v>79454</v>
      </c>
      <c r="P9" s="525">
        <f>+'7'!$K$20</f>
        <v>80479</v>
      </c>
    </row>
    <row r="10" spans="1:16" s="515" customFormat="1" ht="21.75" customHeight="1">
      <c r="A10" s="499"/>
      <c r="B10" s="350" t="s">
        <v>1261</v>
      </c>
      <c r="C10" s="500">
        <v>28307</v>
      </c>
      <c r="D10" s="500">
        <v>24789</v>
      </c>
      <c r="E10" s="500">
        <v>27543</v>
      </c>
      <c r="F10" s="500">
        <v>28712</v>
      </c>
      <c r="G10" s="500">
        <v>21270</v>
      </c>
      <c r="H10" s="500">
        <f>+'57'!AK9</f>
        <v>17917</v>
      </c>
      <c r="J10" s="515" t="s">
        <v>623</v>
      </c>
      <c r="K10" s="515">
        <v>16745</v>
      </c>
      <c r="L10" s="515">
        <v>16745</v>
      </c>
      <c r="M10" s="515">
        <v>17147</v>
      </c>
      <c r="N10" s="515">
        <v>17336</v>
      </c>
      <c r="O10" s="515">
        <v>17525</v>
      </c>
      <c r="P10" s="525">
        <f>+'7'!$L$20</f>
        <v>17716</v>
      </c>
    </row>
    <row r="11" spans="1:16" s="515" customFormat="1" ht="21.75" customHeight="1">
      <c r="A11" s="499"/>
      <c r="B11" s="350" t="s">
        <v>690</v>
      </c>
      <c r="C11" s="500">
        <v>53237</v>
      </c>
      <c r="D11" s="500">
        <v>49044</v>
      </c>
      <c r="E11" s="500">
        <v>46822</v>
      </c>
      <c r="F11" s="500">
        <v>51741</v>
      </c>
      <c r="G11" s="500">
        <v>40367</v>
      </c>
      <c r="H11" s="500">
        <f>SUM(H9:H10)</f>
        <v>38518</v>
      </c>
      <c r="J11" s="515" t="s">
        <v>1262</v>
      </c>
      <c r="K11" s="515">
        <v>14323</v>
      </c>
      <c r="L11" s="515">
        <v>14323</v>
      </c>
      <c r="M11" s="515">
        <v>14544</v>
      </c>
      <c r="N11" s="515">
        <v>14652</v>
      </c>
      <c r="O11" s="515">
        <v>14753</v>
      </c>
      <c r="P11" s="525">
        <f>+'7'!$M$20</f>
        <v>14864</v>
      </c>
    </row>
    <row r="12" spans="1:16" s="515" customFormat="1" ht="21.75" customHeight="1">
      <c r="A12" s="499" t="s">
        <v>576</v>
      </c>
      <c r="B12" s="350" t="s">
        <v>1048</v>
      </c>
      <c r="C12" s="500">
        <v>51235</v>
      </c>
      <c r="D12" s="500">
        <v>32933</v>
      </c>
      <c r="E12" s="500">
        <v>26938</v>
      </c>
      <c r="F12" s="500">
        <v>17294</v>
      </c>
      <c r="G12" s="500">
        <v>14294</v>
      </c>
      <c r="H12" s="500">
        <f>+'57'!AK11</f>
        <v>17232</v>
      </c>
      <c r="J12" s="515" t="s">
        <v>638</v>
      </c>
      <c r="K12" s="515">
        <v>7355</v>
      </c>
      <c r="L12" s="515">
        <v>7355</v>
      </c>
      <c r="M12" s="515">
        <v>7493</v>
      </c>
      <c r="N12" s="515">
        <v>7556</v>
      </c>
      <c r="O12" s="515">
        <v>7617</v>
      </c>
      <c r="P12" s="525">
        <f>+'7'!$N$20</f>
        <v>7682</v>
      </c>
    </row>
    <row r="13" spans="1:16" s="515" customFormat="1" ht="21.75" customHeight="1">
      <c r="A13" s="499" t="s">
        <v>1023</v>
      </c>
      <c r="B13" s="350" t="s">
        <v>1263</v>
      </c>
      <c r="C13" s="500">
        <v>13947</v>
      </c>
      <c r="D13" s="500">
        <v>12326</v>
      </c>
      <c r="E13" s="500">
        <v>13607</v>
      </c>
      <c r="F13" s="500">
        <v>12889</v>
      </c>
      <c r="G13" s="500">
        <v>10273</v>
      </c>
      <c r="H13" s="500">
        <f>+'57'!AK12</f>
        <v>14082</v>
      </c>
      <c r="J13" s="515" t="s">
        <v>1264</v>
      </c>
      <c r="K13" s="515">
        <v>23346</v>
      </c>
      <c r="L13" s="515">
        <v>23346</v>
      </c>
      <c r="M13" s="515">
        <v>23559</v>
      </c>
      <c r="N13" s="515">
        <v>23638</v>
      </c>
      <c r="O13" s="515">
        <v>23728</v>
      </c>
      <c r="P13" s="525">
        <f>+'7'!$O$20</f>
        <v>23810</v>
      </c>
    </row>
    <row r="14" spans="1:16" s="515" customFormat="1" ht="21.75" customHeight="1">
      <c r="A14" s="499" t="s">
        <v>578</v>
      </c>
      <c r="B14" s="350" t="s">
        <v>1050</v>
      </c>
      <c r="C14" s="500">
        <v>9502</v>
      </c>
      <c r="D14" s="500">
        <v>7409</v>
      </c>
      <c r="E14" s="500">
        <v>13785</v>
      </c>
      <c r="F14" s="500">
        <v>14644</v>
      </c>
      <c r="G14" s="500">
        <v>16900</v>
      </c>
      <c r="H14" s="500">
        <f>+'57'!AK13</f>
        <v>12849</v>
      </c>
      <c r="J14" s="515" t="s">
        <v>1265</v>
      </c>
      <c r="K14" s="515">
        <v>13143</v>
      </c>
      <c r="L14" s="515">
        <v>13143</v>
      </c>
      <c r="M14" s="515">
        <v>13280</v>
      </c>
      <c r="N14" s="515">
        <v>13320</v>
      </c>
      <c r="O14" s="515">
        <v>13374</v>
      </c>
      <c r="P14" s="525">
        <f>+'7'!$P$20</f>
        <v>13419</v>
      </c>
    </row>
    <row r="15" spans="1:16" s="515" customFormat="1" ht="21.75" customHeight="1">
      <c r="A15" s="509" t="s">
        <v>1024</v>
      </c>
      <c r="B15" s="518"/>
      <c r="C15" s="508">
        <v>127921</v>
      </c>
      <c r="D15" s="508">
        <v>101712</v>
      </c>
      <c r="E15" s="508">
        <v>101152</v>
      </c>
      <c r="F15" s="508">
        <v>96568</v>
      </c>
      <c r="G15" s="508">
        <v>81834</v>
      </c>
      <c r="H15" s="508">
        <f>SUM(H11:H14)</f>
        <v>82681</v>
      </c>
      <c r="J15" s="515" t="s">
        <v>1266</v>
      </c>
      <c r="K15" s="515">
        <f>SUM(K9:K14)</f>
        <v>150214</v>
      </c>
      <c r="L15" s="515">
        <f>SUM(L9:L14)</f>
        <v>150214</v>
      </c>
      <c r="M15" s="515">
        <f>SUM(M9:M14)</f>
        <v>153417</v>
      </c>
      <c r="N15" s="515">
        <v>154930</v>
      </c>
      <c r="O15" s="515">
        <v>156451</v>
      </c>
      <c r="P15" s="515">
        <f>SUM(P9:P14)</f>
        <v>157970</v>
      </c>
    </row>
    <row r="16" spans="1:16" s="515" customFormat="1" ht="21.75" customHeight="1">
      <c r="A16" s="499" t="s">
        <v>1025</v>
      </c>
      <c r="B16" s="350" t="s">
        <v>895</v>
      </c>
      <c r="C16" s="500">
        <v>31698</v>
      </c>
      <c r="D16" s="500">
        <v>26513</v>
      </c>
      <c r="E16" s="500">
        <v>28392</v>
      </c>
      <c r="F16" s="500">
        <v>26634</v>
      </c>
      <c r="G16" s="500">
        <v>26037</v>
      </c>
      <c r="H16" s="500">
        <f>+'57'!AK15</f>
        <v>23755</v>
      </c>
    </row>
    <row r="17" spans="1:16" s="515" customFormat="1" ht="21.75" customHeight="1">
      <c r="A17" s="499"/>
      <c r="B17" s="350" t="s">
        <v>896</v>
      </c>
      <c r="C17" s="500">
        <v>22519</v>
      </c>
      <c r="D17" s="500">
        <v>34935</v>
      </c>
      <c r="E17" s="500">
        <v>34608</v>
      </c>
      <c r="F17" s="500">
        <v>38266</v>
      </c>
      <c r="G17" s="500">
        <v>39890</v>
      </c>
      <c r="H17" s="500">
        <f>+'57'!AK16</f>
        <v>41576</v>
      </c>
    </row>
    <row r="18" spans="1:16" s="515" customFormat="1" ht="21.75" customHeight="1">
      <c r="A18" s="499"/>
      <c r="B18" s="350" t="s">
        <v>897</v>
      </c>
      <c r="C18" s="500">
        <v>6497</v>
      </c>
      <c r="D18" s="500">
        <v>4343</v>
      </c>
      <c r="E18" s="500">
        <v>7101</v>
      </c>
      <c r="F18" s="500">
        <v>6784</v>
      </c>
      <c r="G18" s="500">
        <v>7695</v>
      </c>
      <c r="H18" s="500">
        <f>+'57'!AK17</f>
        <v>8370</v>
      </c>
      <c r="J18" s="515" t="s">
        <v>737</v>
      </c>
    </row>
    <row r="19" spans="1:16" s="515" customFormat="1" ht="21.75" customHeight="1">
      <c r="A19" s="499"/>
      <c r="B19" s="350" t="s">
        <v>690</v>
      </c>
      <c r="C19" s="500">
        <v>60714</v>
      </c>
      <c r="D19" s="500">
        <v>65791</v>
      </c>
      <c r="E19" s="500">
        <v>70101</v>
      </c>
      <c r="F19" s="500">
        <v>71684</v>
      </c>
      <c r="G19" s="500">
        <v>73622</v>
      </c>
      <c r="H19" s="500">
        <f>SUM(H16:H18)</f>
        <v>73701</v>
      </c>
      <c r="J19" s="515" t="s">
        <v>1254</v>
      </c>
      <c r="K19" s="638">
        <f t="shared" ref="K19:P19" si="0">+C29/K3</f>
        <v>1.1263042687973268</v>
      </c>
      <c r="L19" s="638">
        <f t="shared" si="0"/>
        <v>1.0297903114775655</v>
      </c>
      <c r="M19" s="638">
        <f t="shared" si="0"/>
        <v>1.0003095484367803</v>
      </c>
      <c r="N19" s="638">
        <f t="shared" si="0"/>
        <v>0.99947744035354891</v>
      </c>
      <c r="O19" s="638">
        <f t="shared" si="0"/>
        <v>0.90158591901737239</v>
      </c>
      <c r="P19" s="638">
        <f t="shared" si="0"/>
        <v>0.90707673888921336</v>
      </c>
    </row>
    <row r="20" spans="1:16" s="515" customFormat="1" ht="21.75" customHeight="1">
      <c r="A20" s="499" t="s">
        <v>581</v>
      </c>
      <c r="B20" s="350" t="s">
        <v>1053</v>
      </c>
      <c r="C20" s="500">
        <v>22624</v>
      </c>
      <c r="D20" s="500">
        <v>23664</v>
      </c>
      <c r="E20" s="500">
        <v>22792</v>
      </c>
      <c r="F20" s="500">
        <v>24954</v>
      </c>
      <c r="G20" s="500">
        <v>19967</v>
      </c>
      <c r="H20" s="500">
        <f>+'57'!AK19</f>
        <v>20885</v>
      </c>
      <c r="J20" s="515" t="s">
        <v>1255</v>
      </c>
      <c r="K20" s="638">
        <f t="shared" ref="K20:P24" si="1">+C11/K4</f>
        <v>0.73366591789203861</v>
      </c>
      <c r="L20" s="638">
        <f t="shared" si="1"/>
        <v>0.67588164767167835</v>
      </c>
      <c r="M20" s="638">
        <f t="shared" si="1"/>
        <v>0.62463480035752883</v>
      </c>
      <c r="N20" s="638">
        <f t="shared" si="1"/>
        <v>0.67964008932089848</v>
      </c>
      <c r="O20" s="638">
        <f t="shared" si="1"/>
        <v>0.52217838432184205</v>
      </c>
      <c r="P20" s="638">
        <f t="shared" si="1"/>
        <v>0.49084398455519734</v>
      </c>
    </row>
    <row r="21" spans="1:16" s="515" customFormat="1" ht="21.75" customHeight="1">
      <c r="A21" s="499"/>
      <c r="B21" s="350" t="s">
        <v>1026</v>
      </c>
      <c r="C21" s="500">
        <v>1253</v>
      </c>
      <c r="D21" s="500">
        <v>1146</v>
      </c>
      <c r="E21" s="500">
        <v>178</v>
      </c>
      <c r="F21" s="500">
        <v>285</v>
      </c>
      <c r="G21" s="500">
        <v>396</v>
      </c>
      <c r="H21" s="500">
        <f>+'57'!AK20</f>
        <v>351</v>
      </c>
      <c r="J21" s="515" t="s">
        <v>1256</v>
      </c>
      <c r="K21" s="638">
        <f t="shared" si="1"/>
        <v>3.019863255923612</v>
      </c>
      <c r="L21" s="638">
        <f t="shared" si="1"/>
        <v>1.941117529175999</v>
      </c>
      <c r="M21" s="638">
        <f t="shared" si="1"/>
        <v>1.5439903708373932</v>
      </c>
      <c r="N21" s="638">
        <f t="shared" si="1"/>
        <v>0.9783334276178085</v>
      </c>
      <c r="O21" s="638">
        <f t="shared" si="1"/>
        <v>0.79832449036581965</v>
      </c>
      <c r="P21" s="638">
        <f t="shared" si="1"/>
        <v>0.94989250868199104</v>
      </c>
    </row>
    <row r="22" spans="1:16" s="515" customFormat="1" ht="21.75" customHeight="1">
      <c r="A22" s="499"/>
      <c r="B22" s="350" t="s">
        <v>690</v>
      </c>
      <c r="C22" s="500">
        <v>23877</v>
      </c>
      <c r="D22" s="500">
        <v>24810</v>
      </c>
      <c r="E22" s="500">
        <v>22970</v>
      </c>
      <c r="F22" s="500">
        <v>25239</v>
      </c>
      <c r="G22" s="500">
        <v>20363</v>
      </c>
      <c r="H22" s="500">
        <f>SUM(H20:H21)</f>
        <v>21236</v>
      </c>
      <c r="J22" s="515" t="s">
        <v>1257</v>
      </c>
      <c r="K22" s="638">
        <f t="shared" si="1"/>
        <v>1.2643459341854772</v>
      </c>
      <c r="L22" s="638">
        <f t="shared" si="1"/>
        <v>1.1173964282476656</v>
      </c>
      <c r="M22" s="638">
        <f t="shared" si="1"/>
        <v>1.2282903051092255</v>
      </c>
      <c r="N22" s="638">
        <f t="shared" si="1"/>
        <v>1.1621134252997927</v>
      </c>
      <c r="O22" s="638">
        <f t="shared" si="1"/>
        <v>0.92491221752048258</v>
      </c>
      <c r="P22" s="638">
        <f t="shared" si="1"/>
        <v>1.2672786177105833</v>
      </c>
    </row>
    <row r="23" spans="1:16" s="515" customFormat="1" ht="21.75" customHeight="1">
      <c r="A23" s="499" t="s">
        <v>582</v>
      </c>
      <c r="B23" s="350" t="s">
        <v>1054</v>
      </c>
      <c r="C23" s="500">
        <v>18582</v>
      </c>
      <c r="D23" s="500">
        <v>17354</v>
      </c>
      <c r="E23" s="500">
        <v>16048</v>
      </c>
      <c r="F23" s="500">
        <v>15379</v>
      </c>
      <c r="G23" s="500">
        <v>13863</v>
      </c>
      <c r="H23" s="500">
        <f>+'57'!AK22</f>
        <v>16912</v>
      </c>
      <c r="J23" s="515" t="s">
        <v>616</v>
      </c>
      <c r="K23" s="638">
        <f t="shared" si="1"/>
        <v>1.2182051282051283</v>
      </c>
      <c r="L23" s="638">
        <f t="shared" si="1"/>
        <v>0.94987179487179485</v>
      </c>
      <c r="M23" s="638">
        <f t="shared" si="1"/>
        <v>1.722909636295463</v>
      </c>
      <c r="N23" s="638">
        <f t="shared" si="1"/>
        <v>1.8114794656110835</v>
      </c>
      <c r="O23" s="638">
        <f t="shared" si="1"/>
        <v>2.0662672698373883</v>
      </c>
      <c r="P23" s="638">
        <f t="shared" si="1"/>
        <v>1.5533123791102514</v>
      </c>
    </row>
    <row r="24" spans="1:16" s="515" customFormat="1" ht="21.75" customHeight="1">
      <c r="A24" s="499" t="s">
        <v>583</v>
      </c>
      <c r="B24" s="350" t="s">
        <v>1055</v>
      </c>
      <c r="C24" s="500">
        <v>12458</v>
      </c>
      <c r="D24" s="500">
        <v>11444</v>
      </c>
      <c r="E24" s="500">
        <v>11696</v>
      </c>
      <c r="F24" s="500">
        <v>11233</v>
      </c>
      <c r="G24" s="500">
        <v>11362</v>
      </c>
      <c r="H24" s="500">
        <f>+'57'!AK23</f>
        <v>13206</v>
      </c>
      <c r="J24" s="515" t="s">
        <v>1258</v>
      </c>
      <c r="K24" s="638">
        <f t="shared" si="1"/>
        <v>1.1805186415651532</v>
      </c>
      <c r="L24" s="638">
        <f t="shared" si="1"/>
        <v>0.93864894795127352</v>
      </c>
      <c r="M24" s="638">
        <f t="shared" si="1"/>
        <v>0.90731488541059335</v>
      </c>
      <c r="N24" s="638">
        <f t="shared" si="1"/>
        <v>0.85472022092014655</v>
      </c>
      <c r="O24" s="638">
        <f t="shared" si="1"/>
        <v>0.71473239239798769</v>
      </c>
      <c r="P24" s="638">
        <f t="shared" si="1"/>
        <v>0.71277953068156352</v>
      </c>
    </row>
    <row r="25" spans="1:16" s="515" customFormat="1" ht="21.75" customHeight="1">
      <c r="A25" s="499" t="s">
        <v>1027</v>
      </c>
      <c r="B25" s="350" t="s">
        <v>902</v>
      </c>
      <c r="C25" s="500">
        <v>29104</v>
      </c>
      <c r="D25" s="500">
        <v>24807</v>
      </c>
      <c r="E25" s="500">
        <v>22987</v>
      </c>
      <c r="F25" s="500">
        <v>26448</v>
      </c>
      <c r="G25" s="500">
        <v>24916</v>
      </c>
      <c r="H25" s="500">
        <f>+'57'!AK24</f>
        <v>24617</v>
      </c>
      <c r="J25" s="515" t="s">
        <v>1260</v>
      </c>
      <c r="K25" s="638">
        <f t="shared" ref="K25:P25" si="2">+C19/K9</f>
        <v>0.80627340575283524</v>
      </c>
      <c r="L25" s="638">
        <f t="shared" si="2"/>
        <v>0.87369525377812007</v>
      </c>
      <c r="M25" s="638">
        <f t="shared" si="2"/>
        <v>0.90576788898364213</v>
      </c>
      <c r="N25" s="638">
        <f t="shared" si="2"/>
        <v>0.91401030244300507</v>
      </c>
      <c r="O25" s="638">
        <f t="shared" si="2"/>
        <v>0.92659903843733482</v>
      </c>
      <c r="P25" s="638">
        <f t="shared" si="2"/>
        <v>0.91577927161122774</v>
      </c>
    </row>
    <row r="26" spans="1:16" s="515" customFormat="1" ht="21.75" customHeight="1">
      <c r="A26" s="499"/>
      <c r="B26" s="303" t="s">
        <v>1062</v>
      </c>
      <c r="C26" s="500"/>
      <c r="D26" s="500"/>
      <c r="E26" s="500"/>
      <c r="F26" s="500">
        <v>490</v>
      </c>
      <c r="G26" s="500">
        <v>532</v>
      </c>
      <c r="H26" s="500">
        <f>+'57'!AK25</f>
        <v>396</v>
      </c>
      <c r="K26" s="638"/>
      <c r="L26" s="638"/>
      <c r="M26" s="638"/>
      <c r="N26" s="638"/>
      <c r="O26" s="638"/>
      <c r="P26" s="638"/>
    </row>
    <row r="27" spans="1:16" s="515" customFormat="1" ht="21.75" customHeight="1">
      <c r="A27" s="499" t="s">
        <v>585</v>
      </c>
      <c r="B27" s="350" t="s">
        <v>1056</v>
      </c>
      <c r="C27" s="500">
        <v>18577</v>
      </c>
      <c r="D27" s="500">
        <v>20359</v>
      </c>
      <c r="E27" s="500">
        <v>20030</v>
      </c>
      <c r="F27" s="500">
        <v>20731</v>
      </c>
      <c r="G27" s="500">
        <v>17790</v>
      </c>
      <c r="H27" s="500">
        <f>+'57'!AK26</f>
        <v>15761</v>
      </c>
      <c r="J27" s="515" t="s">
        <v>623</v>
      </c>
      <c r="K27" s="638">
        <f t="shared" ref="K27:P30" si="3">+C22/K10</f>
        <v>1.4259181845326963</v>
      </c>
      <c r="L27" s="638">
        <f t="shared" si="3"/>
        <v>1.4816363093460734</v>
      </c>
      <c r="M27" s="638">
        <f t="shared" si="3"/>
        <v>1.3395929317081705</v>
      </c>
      <c r="N27" s="638">
        <f t="shared" si="3"/>
        <v>1.4558721735117675</v>
      </c>
      <c r="O27" s="638">
        <f t="shared" si="3"/>
        <v>1.1619400855920115</v>
      </c>
      <c r="P27" s="638">
        <f t="shared" si="3"/>
        <v>1.198690449311357</v>
      </c>
    </row>
    <row r="28" spans="1:16" s="515" customFormat="1" ht="21.75" customHeight="1">
      <c r="A28" s="509" t="s">
        <v>1267</v>
      </c>
      <c r="B28" s="516"/>
      <c r="C28" s="639">
        <f t="shared" ref="C28:H28" si="4">SUM(C22:C27)+C19</f>
        <v>163312</v>
      </c>
      <c r="D28" s="639">
        <f t="shared" si="4"/>
        <v>164565</v>
      </c>
      <c r="E28" s="639">
        <f t="shared" si="4"/>
        <v>163832</v>
      </c>
      <c r="F28" s="639">
        <f t="shared" si="4"/>
        <v>171204</v>
      </c>
      <c r="G28" s="639">
        <f t="shared" si="4"/>
        <v>162448</v>
      </c>
      <c r="H28" s="639">
        <f t="shared" si="4"/>
        <v>165829</v>
      </c>
      <c r="J28" s="515" t="s">
        <v>1262</v>
      </c>
      <c r="K28" s="638">
        <f t="shared" si="3"/>
        <v>1.2973539063045452</v>
      </c>
      <c r="L28" s="638">
        <f t="shared" si="3"/>
        <v>1.2116176778607834</v>
      </c>
      <c r="M28" s="638">
        <f t="shared" si="3"/>
        <v>1.1034103410341034</v>
      </c>
      <c r="N28" s="638">
        <f t="shared" si="3"/>
        <v>1.0496177996177996</v>
      </c>
      <c r="O28" s="638">
        <f t="shared" si="3"/>
        <v>0.93967328678912765</v>
      </c>
      <c r="P28" s="638">
        <f t="shared" si="3"/>
        <v>1.1377825618945103</v>
      </c>
    </row>
    <row r="29" spans="1:16" s="515" customFormat="1" ht="21.75" customHeight="1">
      <c r="A29" s="1237" t="s">
        <v>706</v>
      </c>
      <c r="B29" s="1239"/>
      <c r="C29" s="640">
        <f t="shared" ref="C29:H29" si="5">+C15+C28</f>
        <v>291233</v>
      </c>
      <c r="D29" s="640">
        <f t="shared" si="5"/>
        <v>266277</v>
      </c>
      <c r="E29" s="640">
        <f t="shared" si="5"/>
        <v>264984</v>
      </c>
      <c r="F29" s="640">
        <f t="shared" si="5"/>
        <v>267772</v>
      </c>
      <c r="G29" s="640">
        <f t="shared" si="5"/>
        <v>244282</v>
      </c>
      <c r="H29" s="640">
        <f t="shared" si="5"/>
        <v>248510</v>
      </c>
      <c r="J29" s="515" t="s">
        <v>638</v>
      </c>
      <c r="K29" s="638">
        <f t="shared" si="3"/>
        <v>1.6938137321549966</v>
      </c>
      <c r="L29" s="638">
        <f t="shared" si="3"/>
        <v>1.5559483344663494</v>
      </c>
      <c r="M29" s="638">
        <f t="shared" si="3"/>
        <v>1.5609235286267182</v>
      </c>
      <c r="N29" s="638">
        <f t="shared" si="3"/>
        <v>1.4866331392271044</v>
      </c>
      <c r="O29" s="638">
        <f t="shared" si="3"/>
        <v>1.4916633845345937</v>
      </c>
      <c r="P29" s="638">
        <f t="shared" si="3"/>
        <v>1.7190835719864619</v>
      </c>
    </row>
    <row r="30" spans="1:16">
      <c r="J30" s="406" t="s">
        <v>1264</v>
      </c>
      <c r="K30" s="641">
        <f t="shared" si="3"/>
        <v>1.2466375396213485</v>
      </c>
      <c r="L30" s="641">
        <f t="shared" si="3"/>
        <v>1.0625803135440761</v>
      </c>
      <c r="M30" s="641">
        <f t="shared" si="3"/>
        <v>0.97572053143172466</v>
      </c>
      <c r="N30" s="641">
        <f t="shared" si="3"/>
        <v>1.1188763854810051</v>
      </c>
      <c r="O30" s="641">
        <f t="shared" si="3"/>
        <v>1.0500674308833446</v>
      </c>
      <c r="P30" s="641">
        <f t="shared" si="3"/>
        <v>1.0338933221335573</v>
      </c>
    </row>
    <row r="31" spans="1:16">
      <c r="H31" s="529"/>
      <c r="J31" s="406" t="s">
        <v>1265</v>
      </c>
      <c r="K31" s="641">
        <f t="shared" ref="K31:P32" si="6">+C27/K14</f>
        <v>1.4134520276953511</v>
      </c>
      <c r="L31" s="641">
        <f t="shared" si="6"/>
        <v>1.5490375104618428</v>
      </c>
      <c r="M31" s="641">
        <f t="shared" si="6"/>
        <v>1.5082831325301205</v>
      </c>
      <c r="N31" s="641">
        <f t="shared" si="6"/>
        <v>1.5563813813813814</v>
      </c>
      <c r="O31" s="641">
        <f t="shared" si="6"/>
        <v>1.3301929116195603</v>
      </c>
      <c r="P31" s="641">
        <f t="shared" si="6"/>
        <v>1.1745286534018928</v>
      </c>
    </row>
    <row r="32" spans="1:16">
      <c r="J32" s="406" t="s">
        <v>1266</v>
      </c>
      <c r="K32" s="641">
        <f t="shared" si="6"/>
        <v>1.0871956009426551</v>
      </c>
      <c r="L32" s="641">
        <f t="shared" si="6"/>
        <v>1.0955370338317334</v>
      </c>
      <c r="M32" s="641">
        <f t="shared" si="6"/>
        <v>1.0678868704250506</v>
      </c>
      <c r="N32" s="641">
        <f t="shared" si="6"/>
        <v>1.1050409862518558</v>
      </c>
      <c r="O32" s="641">
        <f t="shared" si="6"/>
        <v>1.038331490370787</v>
      </c>
      <c r="P32" s="641">
        <f t="shared" si="6"/>
        <v>1.0497499525226308</v>
      </c>
    </row>
    <row r="58" spans="1:8">
      <c r="A58" s="1225" t="s">
        <v>1268</v>
      </c>
      <c r="B58" s="1225"/>
      <c r="C58" s="1225"/>
      <c r="D58" s="1225"/>
      <c r="E58" s="1225"/>
      <c r="F58" s="1225"/>
      <c r="G58" s="1225"/>
      <c r="H58" s="1225"/>
    </row>
    <row r="59" spans="1:8">
      <c r="A59" s="1225" t="s">
        <v>970</v>
      </c>
      <c r="B59" s="1225"/>
      <c r="C59" s="1225"/>
      <c r="D59" s="1225"/>
      <c r="E59" s="1225"/>
      <c r="F59" s="1225"/>
      <c r="G59" s="1225"/>
      <c r="H59" s="1225"/>
    </row>
    <row r="60" spans="1:8">
      <c r="A60" s="1225" t="s">
        <v>1467</v>
      </c>
      <c r="B60" s="1225"/>
      <c r="C60" s="1225"/>
      <c r="D60" s="1225"/>
      <c r="E60" s="1225"/>
      <c r="F60" s="1225"/>
      <c r="G60" s="1225"/>
      <c r="H60" s="1225"/>
    </row>
    <row r="131" spans="1:8">
      <c r="A131" s="1225" t="s">
        <v>1268</v>
      </c>
      <c r="B131" s="1225"/>
      <c r="C131" s="1225"/>
      <c r="D131" s="1225"/>
      <c r="E131" s="1225"/>
      <c r="F131" s="1225"/>
      <c r="G131" s="1225"/>
      <c r="H131" s="1225"/>
    </row>
    <row r="132" spans="1:8">
      <c r="A132" s="1225" t="s">
        <v>1269</v>
      </c>
      <c r="B132" s="1225"/>
      <c r="C132" s="1225"/>
      <c r="D132" s="1225"/>
      <c r="E132" s="1225"/>
      <c r="F132" s="1225"/>
      <c r="G132" s="1225"/>
      <c r="H132" s="1225"/>
    </row>
    <row r="133" spans="1:8">
      <c r="A133" s="1225" t="str">
        <f>+A60</f>
        <v>2009 - 2014</v>
      </c>
      <c r="B133" s="1225"/>
      <c r="C133" s="1225"/>
      <c r="D133" s="1225"/>
      <c r="E133" s="1225"/>
      <c r="F133" s="1225"/>
      <c r="G133" s="1225"/>
      <c r="H133" s="1225"/>
    </row>
    <row r="204" spans="1:8">
      <c r="A204" s="1225" t="s">
        <v>1268</v>
      </c>
      <c r="B204" s="1225"/>
      <c r="C204" s="1225"/>
      <c r="D204" s="1225"/>
      <c r="E204" s="1225"/>
      <c r="F204" s="1225"/>
      <c r="G204" s="1225"/>
      <c r="H204" s="1225"/>
    </row>
    <row r="205" spans="1:8">
      <c r="A205" s="1225" t="s">
        <v>1269</v>
      </c>
      <c r="B205" s="1225"/>
      <c r="C205" s="1225"/>
      <c r="D205" s="1225"/>
      <c r="E205" s="1225"/>
      <c r="F205" s="1225"/>
      <c r="G205" s="1225"/>
      <c r="H205" s="1225"/>
    </row>
    <row r="206" spans="1:8">
      <c r="A206" s="1225" t="str">
        <f>+A133</f>
        <v>2009 - 2014</v>
      </c>
      <c r="B206" s="1225"/>
      <c r="C206" s="1225"/>
      <c r="D206" s="1225"/>
      <c r="E206" s="1225"/>
      <c r="F206" s="1225"/>
      <c r="G206" s="1225"/>
      <c r="H206" s="1225"/>
    </row>
  </sheetData>
  <mergeCells count="12">
    <mergeCell ref="A205:H205"/>
    <mergeCell ref="A206:H206"/>
    <mergeCell ref="A131:H131"/>
    <mergeCell ref="A132:H132"/>
    <mergeCell ref="A133:H133"/>
    <mergeCell ref="A204:H204"/>
    <mergeCell ref="A59:H59"/>
    <mergeCell ref="A60:H60"/>
    <mergeCell ref="A1:H1"/>
    <mergeCell ref="A3:H3"/>
    <mergeCell ref="A29:B29"/>
    <mergeCell ref="A58:H58"/>
  </mergeCells>
  <phoneticPr fontId="19" type="noConversion"/>
  <pageMargins left="0.78740157480314965" right="0.78740157480314965" top="1.1811023622047245" bottom="0.98425196850393704" header="0" footer="0"/>
  <pageSetup paperSize="5" orientation="portrait" horizontalDpi="300" verticalDpi="300" r:id="rId1"/>
  <headerFooter alignWithMargins="0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09"/>
  <sheetViews>
    <sheetView showGridLines="0" topLeftCell="A31" workbookViewId="0">
      <selection activeCell="G56" sqref="G56"/>
    </sheetView>
  </sheetViews>
  <sheetFormatPr baseColWidth="10" defaultRowHeight="12.75"/>
  <cols>
    <col min="1" max="1" width="15.85546875" customWidth="1"/>
    <col min="2" max="2" width="12.42578125" customWidth="1"/>
    <col min="3" max="3" width="14" customWidth="1"/>
    <col min="4" max="5" width="12.28515625" customWidth="1"/>
    <col min="6" max="6" width="13.5703125" customWidth="1"/>
  </cols>
  <sheetData>
    <row r="1" spans="1:8">
      <c r="A1" s="118" t="s">
        <v>1270</v>
      </c>
      <c r="B1" s="118"/>
      <c r="C1" s="185"/>
      <c r="D1" s="185"/>
      <c r="E1" s="185"/>
      <c r="F1" s="185"/>
    </row>
    <row r="2" spans="1:8">
      <c r="A2" s="118" t="s">
        <v>1271</v>
      </c>
      <c r="B2" s="118"/>
      <c r="C2" s="185"/>
      <c r="D2" s="185"/>
      <c r="E2" s="185"/>
      <c r="F2" s="185"/>
    </row>
    <row r="3" spans="1:8">
      <c r="A3" s="118" t="s">
        <v>970</v>
      </c>
      <c r="B3" s="118"/>
      <c r="C3" s="185"/>
      <c r="D3" s="185"/>
      <c r="E3" s="185"/>
      <c r="F3" s="185"/>
    </row>
    <row r="4" spans="1:8">
      <c r="A4" s="118"/>
      <c r="B4" s="118"/>
      <c r="C4" s="185"/>
      <c r="D4" s="185"/>
      <c r="E4" s="185"/>
      <c r="F4" s="185"/>
    </row>
    <row r="5" spans="1:8">
      <c r="A5" s="1"/>
      <c r="B5" s="1"/>
      <c r="C5" s="1"/>
      <c r="D5" s="1"/>
      <c r="E5" s="1"/>
      <c r="F5" s="1"/>
    </row>
    <row r="6" spans="1:8" ht="28.5" customHeight="1">
      <c r="A6" s="161" t="s">
        <v>1272</v>
      </c>
      <c r="B6" s="485" t="s">
        <v>1273</v>
      </c>
      <c r="C6" s="161">
        <v>2011</v>
      </c>
      <c r="D6" s="161">
        <v>2012</v>
      </c>
      <c r="E6" s="161">
        <v>2013</v>
      </c>
      <c r="F6" s="161">
        <v>2014</v>
      </c>
    </row>
    <row r="7" spans="1:8" ht="19.5" customHeight="1">
      <c r="A7" s="65"/>
      <c r="B7" s="645" t="s">
        <v>1274</v>
      </c>
      <c r="C7" s="642">
        <v>73499</v>
      </c>
      <c r="D7" s="642">
        <v>73139</v>
      </c>
      <c r="E7" s="642">
        <v>66280</v>
      </c>
      <c r="F7" s="642">
        <f>+[34]D15!C13+[34]D15!C67+[35]D15!C35</f>
        <v>57638</v>
      </c>
      <c r="G7" s="119"/>
      <c r="H7" s="119"/>
    </row>
    <row r="8" spans="1:8" ht="19.5" customHeight="1">
      <c r="A8" s="643" t="s">
        <v>1275</v>
      </c>
      <c r="B8" s="647" t="s">
        <v>1276</v>
      </c>
      <c r="C8" s="642">
        <v>145554</v>
      </c>
      <c r="D8" s="642">
        <v>143942</v>
      </c>
      <c r="E8" s="642">
        <v>136883</v>
      </c>
      <c r="F8" s="642">
        <f>+[34]D15!C14+[34]D15!C68</f>
        <v>128786</v>
      </c>
      <c r="G8" s="119"/>
    </row>
    <row r="9" spans="1:8" ht="19.5" customHeight="1">
      <c r="A9" s="643"/>
      <c r="B9" s="647" t="s">
        <v>1277</v>
      </c>
      <c r="C9" s="642">
        <v>36366</v>
      </c>
      <c r="D9" s="642">
        <v>31778</v>
      </c>
      <c r="E9" s="642">
        <v>29857</v>
      </c>
      <c r="F9" s="642">
        <f>+[34]D15!C15+[34]D15!C69</f>
        <v>30449</v>
      </c>
      <c r="G9" s="119"/>
      <c r="H9" s="119"/>
    </row>
    <row r="10" spans="1:8" ht="19.5" customHeight="1">
      <c r="A10" s="309"/>
      <c r="B10" s="648" t="s">
        <v>1278</v>
      </c>
      <c r="C10" s="644">
        <v>255419</v>
      </c>
      <c r="D10" s="644">
        <v>248859</v>
      </c>
      <c r="E10" s="644">
        <v>233020</v>
      </c>
      <c r="F10" s="644">
        <f>SUM(F7:F9)</f>
        <v>216873</v>
      </c>
      <c r="G10" s="119"/>
    </row>
    <row r="11" spans="1:8" ht="19.5" customHeight="1">
      <c r="A11" s="95"/>
      <c r="B11" s="645" t="s">
        <v>1274</v>
      </c>
      <c r="C11" s="646">
        <v>574</v>
      </c>
      <c r="D11" s="646">
        <v>338</v>
      </c>
      <c r="E11" s="642">
        <v>506</v>
      </c>
      <c r="F11" s="642">
        <f>+[34]D15!C18+[34]D15!C72</f>
        <v>4961</v>
      </c>
      <c r="G11" s="119"/>
    </row>
    <row r="12" spans="1:8" ht="19.5" customHeight="1">
      <c r="A12" s="196"/>
      <c r="B12" s="647" t="s">
        <v>1276</v>
      </c>
      <c r="C12" s="642">
        <v>514</v>
      </c>
      <c r="D12" s="642">
        <v>472</v>
      </c>
      <c r="E12" s="642">
        <v>336</v>
      </c>
      <c r="F12" s="642">
        <f>+[34]D15!C19+[34]D15!C73</f>
        <v>8662</v>
      </c>
      <c r="G12" s="119"/>
    </row>
    <row r="13" spans="1:8" ht="19.5" customHeight="1">
      <c r="A13" s="643" t="s">
        <v>1279</v>
      </c>
      <c r="B13" s="647" t="s">
        <v>1277</v>
      </c>
      <c r="C13" s="642">
        <v>6679</v>
      </c>
      <c r="D13" s="642">
        <v>5111</v>
      </c>
      <c r="E13" s="642">
        <v>4396</v>
      </c>
      <c r="F13" s="642">
        <f>+[34]D15!C21+[34]D15!C75</f>
        <v>5073</v>
      </c>
      <c r="G13" s="119"/>
    </row>
    <row r="14" spans="1:8" ht="19.5" customHeight="1">
      <c r="A14" s="95"/>
      <c r="B14" s="647" t="s">
        <v>1280</v>
      </c>
      <c r="C14" s="642">
        <v>897</v>
      </c>
      <c r="D14" s="642">
        <v>648</v>
      </c>
      <c r="E14" s="642">
        <v>690</v>
      </c>
      <c r="F14" s="642">
        <f>+[34]D15!C20+[34]D15!C74+[35]D15!C36+[35]D15!C90</f>
        <v>650</v>
      </c>
      <c r="G14" s="119"/>
    </row>
    <row r="15" spans="1:8" ht="19.5" customHeight="1">
      <c r="A15" s="15"/>
      <c r="B15" s="648" t="s">
        <v>1281</v>
      </c>
      <c r="C15" s="642">
        <v>8664</v>
      </c>
      <c r="D15" s="642">
        <v>6569</v>
      </c>
      <c r="E15" s="644">
        <v>5928</v>
      </c>
      <c r="F15" s="644">
        <f>SUM(F11:F14)</f>
        <v>19346</v>
      </c>
      <c r="G15" s="119"/>
    </row>
    <row r="16" spans="1:8" ht="19.5" customHeight="1">
      <c r="A16" s="346"/>
      <c r="B16" s="645" t="s">
        <v>1274</v>
      </c>
      <c r="C16" s="646">
        <v>4962</v>
      </c>
      <c r="D16" s="565">
        <v>4512</v>
      </c>
      <c r="E16" s="642">
        <v>4097</v>
      </c>
      <c r="F16" s="642">
        <f>+[34]D15!C24+[34]D15!C78</f>
        <v>3753</v>
      </c>
      <c r="G16" s="119"/>
    </row>
    <row r="17" spans="1:8" ht="19.5" customHeight="1">
      <c r="A17" s="643" t="s">
        <v>1279</v>
      </c>
      <c r="B17" s="647" t="s">
        <v>1276</v>
      </c>
      <c r="C17" s="642">
        <v>3616</v>
      </c>
      <c r="D17" s="541">
        <v>3752</v>
      </c>
      <c r="E17" s="642">
        <v>3792</v>
      </c>
      <c r="F17" s="642">
        <f>+[34]D15!C25+[34]D15!C79</f>
        <v>3187</v>
      </c>
      <c r="G17" s="119"/>
    </row>
    <row r="18" spans="1:8" ht="19.5" customHeight="1">
      <c r="A18" s="643" t="s">
        <v>1282</v>
      </c>
      <c r="B18" s="647" t="s">
        <v>1280</v>
      </c>
      <c r="C18" s="642">
        <v>6942</v>
      </c>
      <c r="D18" s="541">
        <v>6700</v>
      </c>
      <c r="E18" s="642">
        <v>6453</v>
      </c>
      <c r="F18" s="642">
        <f>+[34]D15!C26+[34]D15!C80</f>
        <v>5771</v>
      </c>
      <c r="G18" s="119"/>
    </row>
    <row r="19" spans="1:8" ht="19.5" customHeight="1">
      <c r="A19" s="152"/>
      <c r="B19" s="648" t="s">
        <v>1281</v>
      </c>
      <c r="C19" s="642">
        <v>15520</v>
      </c>
      <c r="D19" s="541">
        <v>14964</v>
      </c>
      <c r="E19" s="541">
        <v>14342</v>
      </c>
      <c r="F19" s="541">
        <f>SUM(F16:F18)</f>
        <v>12711</v>
      </c>
      <c r="G19" s="119"/>
    </row>
    <row r="20" spans="1:8" ht="19.5" customHeight="1">
      <c r="A20" s="196"/>
      <c r="B20" s="645" t="s">
        <v>1274</v>
      </c>
      <c r="C20" s="646">
        <v>79035</v>
      </c>
      <c r="D20" s="565">
        <v>77989</v>
      </c>
      <c r="E20" s="565">
        <v>70883</v>
      </c>
      <c r="F20" s="565">
        <f>+F7+F11+F16</f>
        <v>66352</v>
      </c>
      <c r="G20" s="119"/>
      <c r="H20" s="119"/>
    </row>
    <row r="21" spans="1:8" ht="19.5" customHeight="1">
      <c r="A21" s="196" t="s">
        <v>1283</v>
      </c>
      <c r="B21" s="647" t="s">
        <v>1276</v>
      </c>
      <c r="C21" s="642">
        <v>149684</v>
      </c>
      <c r="D21" s="541">
        <v>148166</v>
      </c>
      <c r="E21" s="541">
        <v>141011</v>
      </c>
      <c r="F21" s="541">
        <f>+F8+F12+F17</f>
        <v>140635</v>
      </c>
      <c r="G21" s="119"/>
      <c r="H21" s="119"/>
    </row>
    <row r="22" spans="1:8" ht="19.5" customHeight="1">
      <c r="A22" s="95"/>
      <c r="B22" s="647" t="s">
        <v>1277</v>
      </c>
      <c r="C22" s="642">
        <v>43045</v>
      </c>
      <c r="D22" s="541">
        <v>36889</v>
      </c>
      <c r="E22" s="541">
        <v>34253</v>
      </c>
      <c r="F22" s="541">
        <f>+F9+F13</f>
        <v>35522</v>
      </c>
      <c r="G22" s="119"/>
      <c r="H22" s="119"/>
    </row>
    <row r="23" spans="1:8" ht="19.5" customHeight="1">
      <c r="A23" s="95"/>
      <c r="B23" s="647" t="s">
        <v>1280</v>
      </c>
      <c r="C23" s="642">
        <v>7839</v>
      </c>
      <c r="D23" s="541">
        <v>7348</v>
      </c>
      <c r="E23" s="541">
        <v>7143</v>
      </c>
      <c r="F23" s="541">
        <f>+F14+F18</f>
        <v>6421</v>
      </c>
      <c r="G23" s="119"/>
      <c r="H23" s="119"/>
    </row>
    <row r="24" spans="1:8" ht="19.5" customHeight="1">
      <c r="A24" s="15"/>
      <c r="B24" s="648" t="s">
        <v>1283</v>
      </c>
      <c r="C24" s="644">
        <f>SUM(C20:C23)</f>
        <v>279603</v>
      </c>
      <c r="D24" s="644">
        <f>SUM(D20:D23)</f>
        <v>270392</v>
      </c>
      <c r="E24" s="560">
        <f>SUM(E20:E23)</f>
        <v>253290</v>
      </c>
      <c r="F24" s="560">
        <f>SUM(F20:F23)</f>
        <v>248930</v>
      </c>
      <c r="G24" s="119"/>
    </row>
    <row r="25" spans="1:8" ht="19.5" customHeight="1">
      <c r="A25" s="569"/>
      <c r="B25" s="1152"/>
      <c r="C25" s="556"/>
      <c r="D25" s="556"/>
      <c r="E25" s="556"/>
      <c r="F25" s="556"/>
      <c r="G25" s="119"/>
    </row>
    <row r="26" spans="1:8" ht="19.5" customHeight="1">
      <c r="A26" s="1211" t="s">
        <v>1404</v>
      </c>
      <c r="B26" s="1211"/>
      <c r="C26" s="1211"/>
      <c r="D26" s="1211"/>
      <c r="E26" s="1211"/>
      <c r="F26" s="556"/>
      <c r="G26" s="119"/>
    </row>
    <row r="27" spans="1:8" ht="19.5" customHeight="1">
      <c r="A27" s="1151"/>
      <c r="B27" s="1151"/>
      <c r="C27" s="1151"/>
      <c r="D27" s="1151"/>
      <c r="E27" s="1151"/>
      <c r="F27" s="556"/>
      <c r="G27" s="119"/>
    </row>
    <row r="28" spans="1:8" ht="19.5" customHeight="1">
      <c r="A28" s="161" t="s">
        <v>1285</v>
      </c>
      <c r="B28" s="1153" t="s">
        <v>1283</v>
      </c>
      <c r="C28" s="1154">
        <v>68271</v>
      </c>
      <c r="D28" s="1154">
        <v>73111</v>
      </c>
      <c r="E28" s="1154">
        <v>70032</v>
      </c>
      <c r="F28" s="1154">
        <f>+[34]D16!$F$27</f>
        <v>80348</v>
      </c>
      <c r="G28" s="119"/>
    </row>
    <row r="29" spans="1:8" ht="19.5" customHeight="1">
      <c r="A29" s="1155" t="s">
        <v>1403</v>
      </c>
      <c r="B29" s="1153" t="s">
        <v>1283</v>
      </c>
      <c r="C29" s="1154">
        <v>68306</v>
      </c>
      <c r="D29" s="1154">
        <v>73113</v>
      </c>
      <c r="E29" s="1154">
        <v>70175</v>
      </c>
      <c r="F29" s="1154">
        <f>+[34]D16!$F$28</f>
        <v>80348</v>
      </c>
      <c r="G29" s="119"/>
    </row>
    <row r="30" spans="1:8">
      <c r="C30" s="119"/>
      <c r="D30" s="119"/>
      <c r="E30" s="119"/>
    </row>
    <row r="31" spans="1:8">
      <c r="C31" s="119"/>
      <c r="D31" s="119"/>
      <c r="E31" s="119"/>
    </row>
    <row r="32" spans="1:8">
      <c r="C32" s="119"/>
      <c r="D32" s="119"/>
      <c r="E32" s="119"/>
    </row>
    <row r="33" spans="3:5">
      <c r="C33" s="119"/>
      <c r="D33" s="119"/>
      <c r="E33" s="119"/>
    </row>
    <row r="34" spans="3:5">
      <c r="C34" s="119"/>
      <c r="D34" s="119"/>
      <c r="E34" s="119"/>
    </row>
    <row r="35" spans="3:5">
      <c r="C35" s="119"/>
      <c r="D35" s="119"/>
      <c r="E35" s="119"/>
    </row>
    <row r="36" spans="3:5">
      <c r="C36" s="119"/>
      <c r="D36" s="119"/>
      <c r="E36" s="119"/>
    </row>
    <row r="37" spans="3:5">
      <c r="C37" s="119"/>
      <c r="D37" s="119"/>
      <c r="E37" s="119"/>
    </row>
    <row r="38" spans="3:5">
      <c r="C38" s="119"/>
      <c r="D38" s="119"/>
      <c r="E38" s="119"/>
    </row>
    <row r="39" spans="3:5">
      <c r="C39" s="119"/>
      <c r="D39" s="119"/>
      <c r="E39" s="119"/>
    </row>
    <row r="40" spans="3:5">
      <c r="C40" s="119"/>
      <c r="D40" s="119"/>
      <c r="E40" s="119"/>
    </row>
    <row r="41" spans="3:5">
      <c r="C41" s="119"/>
      <c r="D41" s="119"/>
      <c r="E41" s="119"/>
    </row>
    <row r="42" spans="3:5">
      <c r="C42" s="119"/>
      <c r="D42" s="119"/>
      <c r="E42" s="119"/>
    </row>
    <row r="43" spans="3:5">
      <c r="C43" s="119"/>
      <c r="D43" s="119"/>
      <c r="E43" s="119"/>
    </row>
    <row r="44" spans="3:5">
      <c r="C44" s="119"/>
      <c r="D44" s="119"/>
      <c r="E44" s="119"/>
    </row>
    <row r="45" spans="3:5">
      <c r="C45" s="119"/>
      <c r="D45" s="119"/>
      <c r="E45" s="119"/>
    </row>
    <row r="46" spans="3:5">
      <c r="C46" s="119"/>
      <c r="D46" s="119"/>
      <c r="E46" s="119"/>
    </row>
    <row r="47" spans="3:5">
      <c r="C47" s="119"/>
      <c r="D47" s="119"/>
      <c r="E47" s="119"/>
    </row>
    <row r="48" spans="3:5">
      <c r="C48" s="119"/>
      <c r="D48" s="119"/>
      <c r="E48" s="119"/>
    </row>
    <row r="49" spans="3:5">
      <c r="C49" s="119"/>
      <c r="D49" s="119"/>
      <c r="E49" s="119"/>
    </row>
    <row r="50" spans="3:5">
      <c r="C50" s="119"/>
      <c r="D50" s="119"/>
      <c r="E50" s="119"/>
    </row>
    <row r="51" spans="3:5">
      <c r="C51" s="119"/>
      <c r="D51" s="119"/>
      <c r="E51" s="119"/>
    </row>
    <row r="52" spans="3:5">
      <c r="C52" s="119"/>
      <c r="D52" s="119"/>
      <c r="E52" s="119"/>
    </row>
    <row r="53" spans="3:5">
      <c r="C53" s="119"/>
      <c r="D53" s="119"/>
      <c r="E53" s="119"/>
    </row>
    <row r="54" spans="3:5">
      <c r="C54" s="119"/>
      <c r="D54" s="119"/>
      <c r="E54" s="119"/>
    </row>
    <row r="55" spans="3:5">
      <c r="C55" s="119"/>
      <c r="D55" s="119"/>
      <c r="E55" s="119"/>
    </row>
    <row r="56" spans="3:5">
      <c r="C56" s="119"/>
      <c r="D56" s="119"/>
      <c r="E56" s="119"/>
    </row>
    <row r="57" spans="3:5">
      <c r="C57" s="119"/>
      <c r="D57" s="119"/>
      <c r="E57" s="119"/>
    </row>
    <row r="58" spans="3:5">
      <c r="C58" s="119"/>
      <c r="D58" s="119"/>
      <c r="E58" s="119"/>
    </row>
    <row r="59" spans="3:5">
      <c r="C59" s="119"/>
      <c r="D59" s="119"/>
      <c r="E59" s="119"/>
    </row>
    <row r="60" spans="3:5">
      <c r="C60" s="119"/>
      <c r="D60" s="119"/>
      <c r="E60" s="119"/>
    </row>
    <row r="61" spans="3:5">
      <c r="C61" s="119"/>
      <c r="D61" s="119"/>
      <c r="E61" s="119"/>
    </row>
    <row r="62" spans="3:5">
      <c r="C62" s="119"/>
      <c r="D62" s="119"/>
      <c r="E62" s="119"/>
    </row>
    <row r="63" spans="3:5">
      <c r="C63" s="119"/>
      <c r="D63" s="119"/>
      <c r="E63" s="119"/>
    </row>
    <row r="64" spans="3:5">
      <c r="C64" s="119"/>
      <c r="D64" s="119"/>
      <c r="E64" s="119"/>
    </row>
    <row r="65" spans="3:5">
      <c r="C65" s="119"/>
      <c r="D65" s="119"/>
      <c r="E65" s="119"/>
    </row>
    <row r="66" spans="3:5">
      <c r="C66" s="119"/>
      <c r="D66" s="119"/>
      <c r="E66" s="119"/>
    </row>
    <row r="67" spans="3:5">
      <c r="C67" s="119"/>
      <c r="D67" s="119"/>
      <c r="E67" s="119"/>
    </row>
    <row r="68" spans="3:5">
      <c r="C68" s="119"/>
      <c r="D68" s="119"/>
      <c r="E68" s="119"/>
    </row>
    <row r="69" spans="3:5">
      <c r="C69" s="119"/>
      <c r="D69" s="119"/>
      <c r="E69" s="119"/>
    </row>
    <row r="70" spans="3:5">
      <c r="C70" s="119"/>
      <c r="D70" s="119"/>
      <c r="E70" s="119"/>
    </row>
    <row r="71" spans="3:5">
      <c r="C71" s="119"/>
      <c r="D71" s="119"/>
      <c r="E71" s="119"/>
    </row>
    <row r="72" spans="3:5">
      <c r="C72" s="119"/>
      <c r="D72" s="119"/>
      <c r="E72" s="119"/>
    </row>
    <row r="73" spans="3:5">
      <c r="C73" s="119"/>
      <c r="D73" s="119"/>
      <c r="E73" s="119"/>
    </row>
    <row r="74" spans="3:5">
      <c r="C74" s="119"/>
      <c r="D74" s="119"/>
      <c r="E74" s="119"/>
    </row>
    <row r="75" spans="3:5">
      <c r="C75" s="119"/>
      <c r="D75" s="119"/>
      <c r="E75" s="119"/>
    </row>
    <row r="76" spans="3:5">
      <c r="C76" s="119"/>
      <c r="D76" s="119"/>
      <c r="E76" s="119"/>
    </row>
    <row r="77" spans="3:5">
      <c r="C77" s="119"/>
      <c r="D77" s="119"/>
      <c r="E77" s="119"/>
    </row>
    <row r="78" spans="3:5">
      <c r="C78" s="119"/>
      <c r="D78" s="119"/>
      <c r="E78" s="119"/>
    </row>
    <row r="79" spans="3:5">
      <c r="C79" s="119"/>
      <c r="D79" s="119"/>
      <c r="E79" s="119"/>
    </row>
    <row r="80" spans="3:5">
      <c r="C80" s="119"/>
      <c r="D80" s="119"/>
      <c r="E80" s="119"/>
    </row>
    <row r="81" spans="3:5">
      <c r="C81" s="119"/>
      <c r="D81" s="119"/>
      <c r="E81" s="119"/>
    </row>
    <row r="82" spans="3:5">
      <c r="C82" s="119"/>
      <c r="D82" s="119"/>
      <c r="E82" s="119"/>
    </row>
    <row r="83" spans="3:5">
      <c r="C83" s="119"/>
      <c r="D83" s="119"/>
      <c r="E83" s="119"/>
    </row>
    <row r="84" spans="3:5">
      <c r="C84" s="119"/>
      <c r="D84" s="119"/>
      <c r="E84" s="119"/>
    </row>
    <row r="85" spans="3:5">
      <c r="C85" s="119"/>
      <c r="D85" s="119"/>
      <c r="E85" s="119"/>
    </row>
    <row r="86" spans="3:5">
      <c r="C86" s="119"/>
      <c r="D86" s="119"/>
      <c r="E86" s="119"/>
    </row>
    <row r="87" spans="3:5">
      <c r="C87" s="119"/>
      <c r="D87" s="119"/>
      <c r="E87" s="119"/>
    </row>
    <row r="88" spans="3:5">
      <c r="C88" s="119"/>
      <c r="D88" s="119"/>
      <c r="E88" s="119"/>
    </row>
    <row r="89" spans="3:5">
      <c r="C89" s="119"/>
      <c r="D89" s="119"/>
      <c r="E89" s="119"/>
    </row>
    <row r="90" spans="3:5">
      <c r="C90" s="119"/>
      <c r="D90" s="119"/>
      <c r="E90" s="119"/>
    </row>
    <row r="91" spans="3:5">
      <c r="C91" s="119"/>
      <c r="D91" s="119"/>
      <c r="E91" s="119"/>
    </row>
    <row r="92" spans="3:5">
      <c r="C92" s="119"/>
      <c r="D92" s="119"/>
      <c r="E92" s="119"/>
    </row>
    <row r="93" spans="3:5">
      <c r="C93" s="119"/>
      <c r="D93" s="119"/>
      <c r="E93" s="119"/>
    </row>
    <row r="94" spans="3:5">
      <c r="C94" s="119"/>
      <c r="D94" s="119"/>
      <c r="E94" s="119"/>
    </row>
    <row r="95" spans="3:5">
      <c r="C95" s="119"/>
      <c r="D95" s="119"/>
      <c r="E95" s="119"/>
    </row>
    <row r="96" spans="3:5">
      <c r="C96" s="119"/>
      <c r="D96" s="119"/>
      <c r="E96" s="119"/>
    </row>
    <row r="97" spans="3:5">
      <c r="C97" s="119"/>
      <c r="D97" s="119"/>
      <c r="E97" s="119"/>
    </row>
    <row r="98" spans="3:5">
      <c r="C98" s="119"/>
      <c r="D98" s="119"/>
      <c r="E98" s="119"/>
    </row>
    <row r="99" spans="3:5">
      <c r="C99" s="119"/>
      <c r="D99" s="119"/>
      <c r="E99" s="119"/>
    </row>
    <row r="100" spans="3:5">
      <c r="C100" s="119"/>
      <c r="D100" s="119"/>
      <c r="E100" s="119"/>
    </row>
    <row r="101" spans="3:5">
      <c r="C101" s="119"/>
      <c r="D101" s="119"/>
      <c r="E101" s="119"/>
    </row>
    <row r="102" spans="3:5">
      <c r="C102" s="119"/>
      <c r="D102" s="119"/>
      <c r="E102" s="119"/>
    </row>
    <row r="103" spans="3:5">
      <c r="C103" s="119"/>
      <c r="D103" s="119"/>
      <c r="E103" s="119"/>
    </row>
    <row r="104" spans="3:5">
      <c r="C104" s="119"/>
      <c r="D104" s="119"/>
      <c r="E104" s="119"/>
    </row>
    <row r="105" spans="3:5">
      <c r="C105" s="119"/>
      <c r="D105" s="119"/>
      <c r="E105" s="119"/>
    </row>
    <row r="106" spans="3:5">
      <c r="C106" s="119"/>
      <c r="D106" s="119"/>
      <c r="E106" s="119"/>
    </row>
    <row r="107" spans="3:5">
      <c r="C107" s="119"/>
      <c r="D107" s="119"/>
      <c r="E107" s="119"/>
    </row>
    <row r="108" spans="3:5">
      <c r="C108" s="119"/>
      <c r="D108" s="119"/>
      <c r="E108" s="119"/>
    </row>
    <row r="109" spans="3:5">
      <c r="C109" s="119"/>
      <c r="D109" s="119"/>
      <c r="E109" s="119"/>
    </row>
  </sheetData>
  <mergeCells count="1">
    <mergeCell ref="A26:E26"/>
  </mergeCells>
  <phoneticPr fontId="19" type="noConversion"/>
  <printOptions gridLinesSet="0"/>
  <pageMargins left="1.3779527559055118" right="0.78740157480314965" top="1.3779527559055118" bottom="0.98425196850393704" header="0.51181102362204722" footer="0.51181102362204722"/>
  <pageSetup paperSize="5" scale="95" orientation="portrait" horizontalDpi="300" verticalDpi="300" r:id="rId1"/>
  <headerFooter alignWithMargins="0">
    <oddHeader xml:space="preserve">&amp;R
</oddHeader>
  </headerFooter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27"/>
  <sheetViews>
    <sheetView zoomScale="75" workbookViewId="0">
      <selection activeCell="I6" sqref="I6"/>
    </sheetView>
  </sheetViews>
  <sheetFormatPr baseColWidth="10" defaultRowHeight="12.75"/>
  <cols>
    <col min="1" max="1" width="17" customWidth="1"/>
    <col min="2" max="2" width="19.7109375" customWidth="1"/>
    <col min="3" max="14" width="9.42578125" customWidth="1"/>
    <col min="15" max="15" width="13" customWidth="1"/>
    <col min="16" max="17" width="13.28515625" customWidth="1"/>
  </cols>
  <sheetData>
    <row r="1" spans="1:17">
      <c r="A1" s="1275" t="s">
        <v>1289</v>
      </c>
      <c r="B1" s="1275"/>
      <c r="C1" s="1275"/>
      <c r="D1" s="1275"/>
      <c r="E1" s="1275"/>
      <c r="F1" s="1275"/>
      <c r="G1" s="1275"/>
      <c r="H1" s="1275"/>
      <c r="I1" s="1275"/>
      <c r="J1" s="1275"/>
      <c r="K1" s="1275"/>
      <c r="L1" s="1275"/>
      <c r="M1" s="1275"/>
      <c r="N1" s="1275"/>
      <c r="O1" s="1275"/>
      <c r="P1" s="1275"/>
      <c r="Q1" s="1275"/>
    </row>
    <row r="2" spans="1:17">
      <c r="A2" s="1275" t="s">
        <v>1481</v>
      </c>
      <c r="B2" s="1275"/>
      <c r="C2" s="1275"/>
      <c r="D2" s="1275"/>
      <c r="E2" s="1275"/>
      <c r="F2" s="1275"/>
      <c r="G2" s="1275"/>
      <c r="H2" s="1275"/>
      <c r="I2" s="1275"/>
      <c r="J2" s="1275"/>
      <c r="K2" s="1275"/>
      <c r="L2" s="1275"/>
      <c r="M2" s="1275"/>
      <c r="N2" s="1275"/>
      <c r="O2" s="1275"/>
      <c r="P2" s="1275"/>
      <c r="Q2" s="1275"/>
    </row>
    <row r="3" spans="1:17">
      <c r="A3" s="1276"/>
      <c r="B3" s="1276"/>
      <c r="C3" s="1276"/>
      <c r="D3" s="1276"/>
      <c r="E3" s="1276"/>
      <c r="F3" s="1276"/>
      <c r="G3" s="1276"/>
      <c r="H3" s="1276"/>
      <c r="I3" s="1276"/>
      <c r="J3" s="1276"/>
      <c r="K3" s="1276"/>
      <c r="L3" s="1276"/>
      <c r="M3" s="1276"/>
      <c r="N3" s="1276"/>
      <c r="O3" s="1276"/>
      <c r="P3" s="1276"/>
      <c r="Q3" s="1276"/>
    </row>
    <row r="7" spans="1:17">
      <c r="A7" s="650"/>
    </row>
    <row r="8" spans="1:17" ht="31.5" customHeight="1">
      <c r="A8" s="440" t="s">
        <v>1290</v>
      </c>
      <c r="B8" s="651" t="s">
        <v>1291</v>
      </c>
      <c r="C8" s="1280" t="s">
        <v>316</v>
      </c>
      <c r="D8" s="1281"/>
      <c r="E8" s="1277" t="s">
        <v>1323</v>
      </c>
      <c r="F8" s="1282"/>
      <c r="G8" s="1277" t="s">
        <v>1324</v>
      </c>
      <c r="H8" s="1278"/>
      <c r="I8" s="1277" t="s">
        <v>1292</v>
      </c>
      <c r="J8" s="1278"/>
      <c r="K8" s="1277" t="s">
        <v>1293</v>
      </c>
      <c r="L8" s="1278"/>
      <c r="M8" s="1277" t="s">
        <v>571</v>
      </c>
      <c r="N8" s="1279"/>
      <c r="O8" s="652" t="s">
        <v>1294</v>
      </c>
      <c r="P8" s="653" t="s">
        <v>1295</v>
      </c>
      <c r="Q8" s="653" t="s">
        <v>1296</v>
      </c>
    </row>
    <row r="9" spans="1:17" ht="28.5" customHeight="1">
      <c r="A9" s="389"/>
      <c r="B9" s="654"/>
      <c r="C9" s="655" t="s">
        <v>1297</v>
      </c>
      <c r="D9" s="656" t="s">
        <v>1298</v>
      </c>
      <c r="E9" s="657" t="s">
        <v>1297</v>
      </c>
      <c r="F9" s="656" t="s">
        <v>1298</v>
      </c>
      <c r="G9" s="657" t="s">
        <v>1297</v>
      </c>
      <c r="H9" s="656" t="s">
        <v>1298</v>
      </c>
      <c r="I9" s="657" t="s">
        <v>1297</v>
      </c>
      <c r="J9" s="656" t="s">
        <v>1298</v>
      </c>
      <c r="K9" s="657" t="s">
        <v>1297</v>
      </c>
      <c r="L9" s="656" t="s">
        <v>1298</v>
      </c>
      <c r="M9" s="657" t="s">
        <v>1297</v>
      </c>
      <c r="N9" s="658" t="s">
        <v>1298</v>
      </c>
      <c r="O9" s="659" t="s">
        <v>1299</v>
      </c>
      <c r="P9" s="660" t="s">
        <v>1300</v>
      </c>
      <c r="Q9" s="660" t="s">
        <v>1300</v>
      </c>
    </row>
    <row r="10" spans="1:17" s="6" customFormat="1" ht="21" customHeight="1">
      <c r="A10" s="388" t="s">
        <v>1022</v>
      </c>
      <c r="B10" s="350" t="s">
        <v>887</v>
      </c>
      <c r="C10" s="661">
        <v>1</v>
      </c>
      <c r="D10" s="662">
        <v>0</v>
      </c>
      <c r="E10" s="378">
        <v>60</v>
      </c>
      <c r="F10" s="662">
        <v>1</v>
      </c>
      <c r="G10" s="663">
        <v>254</v>
      </c>
      <c r="H10" s="500">
        <v>20</v>
      </c>
      <c r="I10" s="500">
        <v>4</v>
      </c>
      <c r="J10" s="500">
        <v>415</v>
      </c>
      <c r="K10" s="501">
        <v>429</v>
      </c>
      <c r="L10" s="378">
        <v>706</v>
      </c>
      <c r="M10" s="663">
        <f>+C10+E10+G10+I10+K10</f>
        <v>748</v>
      </c>
      <c r="N10" s="378">
        <f>+D10+F10+H10+J10+L10</f>
        <v>1142</v>
      </c>
      <c r="O10" s="663">
        <f>SUM(M10:N10)</f>
        <v>1890</v>
      </c>
      <c r="P10" s="663">
        <v>13761</v>
      </c>
      <c r="Q10" s="664">
        <f>SUM(E10:J11)/P10*100</f>
        <v>6.0024707506721899</v>
      </c>
    </row>
    <row r="11" spans="1:17" s="6" customFormat="1" ht="21" customHeight="1">
      <c r="A11" s="388"/>
      <c r="B11" s="303" t="s">
        <v>1349</v>
      </c>
      <c r="C11" s="661">
        <v>0</v>
      </c>
      <c r="D11" s="663">
        <v>0</v>
      </c>
      <c r="E11" s="378">
        <v>10</v>
      </c>
      <c r="F11" s="663">
        <v>0</v>
      </c>
      <c r="G11" s="663">
        <v>23</v>
      </c>
      <c r="H11" s="500">
        <v>1</v>
      </c>
      <c r="I11" s="500">
        <v>1</v>
      </c>
      <c r="J11" s="500">
        <v>37</v>
      </c>
      <c r="K11" s="500">
        <v>27</v>
      </c>
      <c r="L11" s="378">
        <v>25</v>
      </c>
      <c r="M11" s="663">
        <f>+C11+E11+G11+I11+K11</f>
        <v>61</v>
      </c>
      <c r="N11" s="378">
        <f>+D11+F11+H11+J11+L11</f>
        <v>63</v>
      </c>
      <c r="O11" s="663">
        <f>SUM(M11:N11)</f>
        <v>124</v>
      </c>
      <c r="P11" s="663">
        <v>1122</v>
      </c>
      <c r="Q11" s="664">
        <f>SUM(E11:J11)/P11*100</f>
        <v>6.4171122994652414</v>
      </c>
    </row>
    <row r="12" spans="1:17" s="6" customFormat="1" ht="21" customHeight="1">
      <c r="A12" s="388"/>
      <c r="B12" s="350" t="s">
        <v>888</v>
      </c>
      <c r="C12" s="661">
        <v>11</v>
      </c>
      <c r="D12" s="663">
        <v>23</v>
      </c>
      <c r="E12" s="378">
        <v>122</v>
      </c>
      <c r="F12" s="663">
        <v>74</v>
      </c>
      <c r="G12" s="663">
        <v>548</v>
      </c>
      <c r="H12" s="500">
        <v>412</v>
      </c>
      <c r="I12" s="500">
        <v>182</v>
      </c>
      <c r="J12" s="500">
        <v>509</v>
      </c>
      <c r="K12" s="500">
        <v>279</v>
      </c>
      <c r="L12" s="378">
        <v>465</v>
      </c>
      <c r="M12" s="663">
        <f t="shared" ref="M12:M33" si="0">+C12+E12+G12+I12+K12</f>
        <v>1142</v>
      </c>
      <c r="N12" s="378">
        <f t="shared" ref="N12:N33" si="1">+D12+F12+H12+J12+L12</f>
        <v>1483</v>
      </c>
      <c r="O12" s="663">
        <f>SUM(M12:N12)</f>
        <v>2625</v>
      </c>
      <c r="P12" s="663">
        <v>17386</v>
      </c>
      <c r="Q12" s="664">
        <f>SUM(E12:J12)/P12*100</f>
        <v>10.623490164500172</v>
      </c>
    </row>
    <row r="13" spans="1:17" s="6" customFormat="1" ht="21" customHeight="1">
      <c r="A13" s="388"/>
      <c r="B13" s="350" t="s">
        <v>889</v>
      </c>
      <c r="C13" s="661">
        <v>0</v>
      </c>
      <c r="D13" s="663">
        <v>0</v>
      </c>
      <c r="E13" s="378">
        <v>11</v>
      </c>
      <c r="F13" s="663">
        <v>0</v>
      </c>
      <c r="G13" s="663">
        <v>43</v>
      </c>
      <c r="H13" s="500">
        <v>3</v>
      </c>
      <c r="I13" s="500">
        <v>2</v>
      </c>
      <c r="J13" s="500">
        <v>49</v>
      </c>
      <c r="K13" s="500">
        <v>38</v>
      </c>
      <c r="L13" s="378">
        <v>67</v>
      </c>
      <c r="M13" s="663">
        <f t="shared" si="0"/>
        <v>94</v>
      </c>
      <c r="N13" s="378">
        <f t="shared" si="1"/>
        <v>119</v>
      </c>
      <c r="O13" s="663">
        <f t="shared" ref="O13:O33" si="2">SUM(M13:N13)</f>
        <v>213</v>
      </c>
      <c r="P13" s="663">
        <v>1865</v>
      </c>
      <c r="Q13" s="664">
        <f>SUM(E13:J13)/P13*100</f>
        <v>5.7908847184986598</v>
      </c>
    </row>
    <row r="14" spans="1:17" s="6" customFormat="1" ht="21" customHeight="1">
      <c r="A14" s="388" t="s">
        <v>682</v>
      </c>
      <c r="B14" s="350" t="s">
        <v>890</v>
      </c>
      <c r="C14" s="661">
        <v>0</v>
      </c>
      <c r="D14" s="663">
        <v>1</v>
      </c>
      <c r="E14" s="378">
        <v>81</v>
      </c>
      <c r="F14" s="663">
        <v>12</v>
      </c>
      <c r="G14" s="663">
        <v>280</v>
      </c>
      <c r="H14" s="500">
        <v>81</v>
      </c>
      <c r="I14" s="500">
        <v>75</v>
      </c>
      <c r="J14" s="500">
        <v>282</v>
      </c>
      <c r="K14" s="500">
        <v>293</v>
      </c>
      <c r="L14" s="378">
        <v>383</v>
      </c>
      <c r="M14" s="663">
        <f t="shared" si="0"/>
        <v>729</v>
      </c>
      <c r="N14" s="378">
        <f t="shared" si="1"/>
        <v>759</v>
      </c>
      <c r="O14" s="663">
        <f t="shared" si="2"/>
        <v>1488</v>
      </c>
      <c r="P14" s="663">
        <v>5183</v>
      </c>
      <c r="Q14" s="664">
        <f>SUM(E14:J15)/P14*100</f>
        <v>16.747057688597337</v>
      </c>
    </row>
    <row r="15" spans="1:17" s="6" customFormat="1" ht="21" customHeight="1">
      <c r="A15" s="388"/>
      <c r="B15" s="303" t="s">
        <v>1348</v>
      </c>
      <c r="C15" s="661">
        <v>0</v>
      </c>
      <c r="D15" s="663">
        <v>0</v>
      </c>
      <c r="E15" s="378">
        <v>4</v>
      </c>
      <c r="F15" s="663">
        <v>0</v>
      </c>
      <c r="G15" s="663">
        <v>14</v>
      </c>
      <c r="H15" s="500">
        <v>13</v>
      </c>
      <c r="I15" s="500">
        <v>12</v>
      </c>
      <c r="J15" s="500">
        <v>14</v>
      </c>
      <c r="K15" s="500">
        <v>32</v>
      </c>
      <c r="L15" s="378">
        <v>47</v>
      </c>
      <c r="M15" s="663">
        <f>+C15+E15+G15+I15+K15</f>
        <v>62</v>
      </c>
      <c r="N15" s="378">
        <f>+D15+F15+H15+J15+L15</f>
        <v>74</v>
      </c>
      <c r="O15" s="663">
        <f>SUM(M15:N15)</f>
        <v>136</v>
      </c>
      <c r="P15" s="663">
        <v>1910</v>
      </c>
      <c r="Q15" s="664">
        <f>SUM(E15:J16)/P15*100</f>
        <v>7.0157068062827221</v>
      </c>
    </row>
    <row r="16" spans="1:17" s="6" customFormat="1" ht="21" customHeight="1">
      <c r="A16" s="388"/>
      <c r="B16" s="303" t="s">
        <v>1336</v>
      </c>
      <c r="C16" s="661">
        <v>0</v>
      </c>
      <c r="D16" s="663">
        <v>0</v>
      </c>
      <c r="E16" s="378">
        <v>9</v>
      </c>
      <c r="F16" s="663">
        <v>4</v>
      </c>
      <c r="G16" s="663">
        <v>24</v>
      </c>
      <c r="H16" s="500">
        <v>8</v>
      </c>
      <c r="I16" s="500">
        <v>16</v>
      </c>
      <c r="J16" s="500">
        <v>16</v>
      </c>
      <c r="K16" s="500">
        <v>43</v>
      </c>
      <c r="L16" s="378">
        <v>52</v>
      </c>
      <c r="M16" s="663">
        <f>+C16+E16+G16+I16+K16</f>
        <v>92</v>
      </c>
      <c r="N16" s="378">
        <f>+D16+F16+H16+J16+L16</f>
        <v>80</v>
      </c>
      <c r="O16" s="663">
        <f>SUM(M16:N16)</f>
        <v>172</v>
      </c>
      <c r="P16" s="663">
        <v>1745</v>
      </c>
      <c r="Q16" s="664">
        <f>SUM(E16:J16)/P16*100</f>
        <v>4.4126074498567336</v>
      </c>
    </row>
    <row r="17" spans="1:19" s="6" customFormat="1" ht="21" customHeight="1">
      <c r="A17" s="388" t="s">
        <v>919</v>
      </c>
      <c r="B17" s="350" t="s">
        <v>892</v>
      </c>
      <c r="C17" s="661">
        <v>3</v>
      </c>
      <c r="D17" s="663">
        <v>1</v>
      </c>
      <c r="E17" s="378">
        <v>83</v>
      </c>
      <c r="F17" s="663">
        <v>9</v>
      </c>
      <c r="G17" s="663">
        <v>246</v>
      </c>
      <c r="H17" s="500">
        <v>60</v>
      </c>
      <c r="I17" s="500">
        <v>30</v>
      </c>
      <c r="J17" s="500">
        <v>255</v>
      </c>
      <c r="K17" s="500">
        <v>292</v>
      </c>
      <c r="L17" s="378">
        <v>365</v>
      </c>
      <c r="M17" s="663">
        <f t="shared" si="0"/>
        <v>654</v>
      </c>
      <c r="N17" s="378">
        <f t="shared" si="1"/>
        <v>690</v>
      </c>
      <c r="O17" s="663">
        <f t="shared" si="2"/>
        <v>1344</v>
      </c>
      <c r="P17" s="663">
        <v>4429</v>
      </c>
      <c r="Q17" s="664">
        <f>SUM(E17:J18)/P17*100</f>
        <v>16.888688191465342</v>
      </c>
    </row>
    <row r="18" spans="1:19" s="6" customFormat="1" ht="21" customHeight="1">
      <c r="A18" s="388"/>
      <c r="B18" s="303" t="s">
        <v>1350</v>
      </c>
      <c r="C18" s="661">
        <v>0</v>
      </c>
      <c r="D18" s="663">
        <v>0</v>
      </c>
      <c r="E18" s="378">
        <v>8</v>
      </c>
      <c r="F18" s="663">
        <v>1</v>
      </c>
      <c r="G18" s="663">
        <v>20</v>
      </c>
      <c r="H18" s="500">
        <v>8</v>
      </c>
      <c r="I18" s="500">
        <v>7</v>
      </c>
      <c r="J18" s="500">
        <v>21</v>
      </c>
      <c r="K18" s="500">
        <v>39</v>
      </c>
      <c r="L18" s="378">
        <v>57</v>
      </c>
      <c r="M18" s="663">
        <f>+C18+E18+G18+I18+K18</f>
        <v>74</v>
      </c>
      <c r="N18" s="378">
        <f>+D18+F18+H18+J18+L18</f>
        <v>87</v>
      </c>
      <c r="O18" s="663">
        <f>SUM(M18:N18)</f>
        <v>161</v>
      </c>
      <c r="P18" s="663">
        <v>850</v>
      </c>
      <c r="Q18" s="664">
        <f>SUM(E18:J19)/P18*100</f>
        <v>71.882352941176478</v>
      </c>
    </row>
    <row r="19" spans="1:19" s="6" customFormat="1" ht="21" customHeight="1">
      <c r="A19" s="388" t="s">
        <v>683</v>
      </c>
      <c r="B19" s="350" t="s">
        <v>893</v>
      </c>
      <c r="C19" s="661">
        <v>0</v>
      </c>
      <c r="D19" s="663">
        <v>1</v>
      </c>
      <c r="E19" s="378">
        <v>83</v>
      </c>
      <c r="F19" s="663">
        <v>2</v>
      </c>
      <c r="G19" s="663">
        <v>192</v>
      </c>
      <c r="H19" s="500">
        <v>9</v>
      </c>
      <c r="I19" s="500">
        <v>8</v>
      </c>
      <c r="J19" s="500">
        <v>252</v>
      </c>
      <c r="K19" s="500">
        <v>185</v>
      </c>
      <c r="L19" s="378">
        <v>194</v>
      </c>
      <c r="M19" s="663">
        <f t="shared" si="0"/>
        <v>468</v>
      </c>
      <c r="N19" s="378">
        <f t="shared" si="1"/>
        <v>458</v>
      </c>
      <c r="O19" s="663">
        <f t="shared" si="2"/>
        <v>926</v>
      </c>
      <c r="P19" s="663">
        <v>3926</v>
      </c>
      <c r="Q19" s="664">
        <f>SUM(E19:J19)/P19*100</f>
        <v>13.90728476821192</v>
      </c>
    </row>
    <row r="20" spans="1:19" s="6" customFormat="1" ht="21" customHeight="1">
      <c r="A20" s="388" t="s">
        <v>684</v>
      </c>
      <c r="B20" s="350" t="s">
        <v>895</v>
      </c>
      <c r="C20" s="661">
        <v>5</v>
      </c>
      <c r="D20" s="663">
        <v>1</v>
      </c>
      <c r="E20" s="378">
        <v>154</v>
      </c>
      <c r="F20" s="663">
        <v>16</v>
      </c>
      <c r="G20" s="663">
        <v>438</v>
      </c>
      <c r="H20" s="500">
        <v>141</v>
      </c>
      <c r="I20" s="500">
        <v>52</v>
      </c>
      <c r="J20" s="500">
        <v>670</v>
      </c>
      <c r="K20" s="500">
        <v>266</v>
      </c>
      <c r="L20" s="378">
        <v>471</v>
      </c>
      <c r="M20" s="663">
        <f t="shared" si="0"/>
        <v>915</v>
      </c>
      <c r="N20" s="378">
        <f t="shared" si="1"/>
        <v>1299</v>
      </c>
      <c r="O20" s="663">
        <f t="shared" si="2"/>
        <v>2214</v>
      </c>
      <c r="P20" s="663">
        <v>16539</v>
      </c>
      <c r="Q20" s="664">
        <f>SUM(E20:J20)/P20*100</f>
        <v>8.8941290283572165</v>
      </c>
    </row>
    <row r="21" spans="1:19" s="6" customFormat="1" ht="21" customHeight="1">
      <c r="A21" s="388"/>
      <c r="B21" s="350" t="s">
        <v>896</v>
      </c>
      <c r="C21" s="661">
        <v>18</v>
      </c>
      <c r="D21" s="663">
        <v>13</v>
      </c>
      <c r="E21" s="378">
        <v>90</v>
      </c>
      <c r="F21" s="663">
        <v>76</v>
      </c>
      <c r="G21" s="663">
        <v>343</v>
      </c>
      <c r="H21" s="500">
        <v>340</v>
      </c>
      <c r="I21" s="500">
        <v>144</v>
      </c>
      <c r="J21" s="500">
        <v>472</v>
      </c>
      <c r="K21" s="500">
        <v>481</v>
      </c>
      <c r="L21" s="378">
        <v>805</v>
      </c>
      <c r="M21" s="663">
        <f t="shared" si="0"/>
        <v>1076</v>
      </c>
      <c r="N21" s="378">
        <f t="shared" si="1"/>
        <v>1706</v>
      </c>
      <c r="O21" s="663">
        <f t="shared" si="2"/>
        <v>2782</v>
      </c>
      <c r="P21" s="663">
        <v>15568</v>
      </c>
      <c r="Q21" s="664">
        <f>SUM(E21:J21)/P21*100</f>
        <v>9.4103288797533402</v>
      </c>
      <c r="S21" s="1095"/>
    </row>
    <row r="22" spans="1:19" s="6" customFormat="1" ht="21" customHeight="1">
      <c r="A22" s="388"/>
      <c r="B22" s="350" t="s">
        <v>586</v>
      </c>
      <c r="C22" s="661">
        <v>1</v>
      </c>
      <c r="D22" s="663">
        <v>1</v>
      </c>
      <c r="E22" s="378">
        <v>10</v>
      </c>
      <c r="F22" s="663">
        <v>3</v>
      </c>
      <c r="G22" s="663">
        <v>38</v>
      </c>
      <c r="H22" s="500">
        <v>34</v>
      </c>
      <c r="I22" s="500">
        <v>27</v>
      </c>
      <c r="J22" s="500">
        <v>48</v>
      </c>
      <c r="K22" s="500">
        <v>81</v>
      </c>
      <c r="L22" s="378">
        <v>103</v>
      </c>
      <c r="M22" s="663">
        <f t="shared" si="0"/>
        <v>157</v>
      </c>
      <c r="N22" s="378">
        <f t="shared" si="1"/>
        <v>189</v>
      </c>
      <c r="O22" s="663">
        <f>SUM(M22:N22)</f>
        <v>346</v>
      </c>
      <c r="P22" s="663">
        <v>1744</v>
      </c>
      <c r="Q22" s="664">
        <f>SUM(E22:J22)/P22*100</f>
        <v>9.1743119266055047</v>
      </c>
    </row>
    <row r="23" spans="1:19" s="6" customFormat="1" ht="21" customHeight="1">
      <c r="A23" s="388"/>
      <c r="B23" s="350" t="s">
        <v>897</v>
      </c>
      <c r="C23" s="661">
        <v>1</v>
      </c>
      <c r="D23" s="663">
        <v>3</v>
      </c>
      <c r="E23" s="378">
        <v>31</v>
      </c>
      <c r="F23" s="663">
        <v>9</v>
      </c>
      <c r="G23" s="663">
        <v>104</v>
      </c>
      <c r="H23" s="500">
        <v>30</v>
      </c>
      <c r="I23" s="500">
        <v>15</v>
      </c>
      <c r="J23" s="500">
        <v>132</v>
      </c>
      <c r="K23" s="500">
        <v>116</v>
      </c>
      <c r="L23" s="378">
        <v>173</v>
      </c>
      <c r="M23" s="663">
        <f t="shared" si="0"/>
        <v>267</v>
      </c>
      <c r="N23" s="378">
        <f t="shared" si="1"/>
        <v>347</v>
      </c>
      <c r="O23" s="663">
        <f t="shared" si="2"/>
        <v>614</v>
      </c>
      <c r="P23" s="663">
        <v>3312</v>
      </c>
      <c r="Q23" s="664">
        <f>SUM(E23:J23)/P23*100</f>
        <v>9.6920289855072461</v>
      </c>
    </row>
    <row r="24" spans="1:19" s="6" customFormat="1" ht="21" customHeight="1">
      <c r="A24" s="388" t="s">
        <v>685</v>
      </c>
      <c r="B24" s="303" t="s">
        <v>898</v>
      </c>
      <c r="C24" s="661">
        <v>0</v>
      </c>
      <c r="D24" s="663">
        <v>0</v>
      </c>
      <c r="E24" s="378">
        <v>28</v>
      </c>
      <c r="F24" s="663">
        <v>5</v>
      </c>
      <c r="G24" s="663">
        <v>103</v>
      </c>
      <c r="H24" s="500">
        <v>22</v>
      </c>
      <c r="I24" s="500">
        <v>16</v>
      </c>
      <c r="J24" s="500">
        <v>149</v>
      </c>
      <c r="K24" s="500">
        <v>299</v>
      </c>
      <c r="L24" s="378">
        <v>424</v>
      </c>
      <c r="M24" s="663">
        <f>+C24+E24+G24+I24+K24</f>
        <v>446</v>
      </c>
      <c r="N24" s="378">
        <f>+D24+F24+H24+J24+L24</f>
        <v>600</v>
      </c>
      <c r="O24" s="663">
        <f>SUM(M24:N24)</f>
        <v>1046</v>
      </c>
      <c r="P24" s="663">
        <v>5331</v>
      </c>
      <c r="Q24" s="664">
        <f>SUM(E24:J25)/P24*100</f>
        <v>14.706434064903394</v>
      </c>
    </row>
    <row r="25" spans="1:19" s="6" customFormat="1" ht="21" customHeight="1">
      <c r="A25" s="388"/>
      <c r="B25" s="303" t="s">
        <v>1351</v>
      </c>
      <c r="C25" s="661">
        <v>4</v>
      </c>
      <c r="D25" s="663">
        <v>4</v>
      </c>
      <c r="E25" s="378">
        <v>85</v>
      </c>
      <c r="F25" s="663">
        <v>2</v>
      </c>
      <c r="G25" s="663">
        <v>176</v>
      </c>
      <c r="H25" s="500">
        <v>32</v>
      </c>
      <c r="I25" s="500">
        <v>12</v>
      </c>
      <c r="J25" s="500">
        <v>154</v>
      </c>
      <c r="K25" s="500">
        <v>136</v>
      </c>
      <c r="L25" s="378">
        <v>168</v>
      </c>
      <c r="M25" s="663">
        <f>+C25+E25+G25+I25+K25</f>
        <v>413</v>
      </c>
      <c r="N25" s="378">
        <f>+D25+F25+H25+J25+L25</f>
        <v>360</v>
      </c>
      <c r="O25" s="663">
        <f>SUM(M25:N25)</f>
        <v>773</v>
      </c>
      <c r="P25" s="663">
        <v>2757</v>
      </c>
      <c r="Q25" s="664">
        <f>SUM(E25:J26)/P25*100</f>
        <v>48.676097207109173</v>
      </c>
    </row>
    <row r="26" spans="1:19" s="6" customFormat="1" ht="21" customHeight="1">
      <c r="A26" s="388" t="s">
        <v>921</v>
      </c>
      <c r="B26" s="350" t="s">
        <v>698</v>
      </c>
      <c r="C26" s="661">
        <v>1</v>
      </c>
      <c r="D26" s="663">
        <v>0</v>
      </c>
      <c r="E26" s="378">
        <v>144</v>
      </c>
      <c r="F26" s="663">
        <v>2</v>
      </c>
      <c r="G26" s="663">
        <v>302</v>
      </c>
      <c r="H26" s="500">
        <v>35</v>
      </c>
      <c r="I26" s="500">
        <v>14</v>
      </c>
      <c r="J26" s="500">
        <v>384</v>
      </c>
      <c r="K26" s="500">
        <v>274</v>
      </c>
      <c r="L26" s="378">
        <v>370</v>
      </c>
      <c r="M26" s="663">
        <f t="shared" si="0"/>
        <v>735</v>
      </c>
      <c r="N26" s="378">
        <f t="shared" si="1"/>
        <v>791</v>
      </c>
      <c r="O26" s="663">
        <f t="shared" si="2"/>
        <v>1526</v>
      </c>
      <c r="P26" s="663">
        <v>5427</v>
      </c>
      <c r="Q26" s="664">
        <f>SUM(E26:J27)/P26*100</f>
        <v>17.505067256311037</v>
      </c>
    </row>
    <row r="27" spans="1:19" s="6" customFormat="1" ht="21" customHeight="1">
      <c r="A27" s="388"/>
      <c r="B27" s="303" t="s">
        <v>1352</v>
      </c>
      <c r="C27" s="661">
        <v>0</v>
      </c>
      <c r="D27" s="663">
        <v>0</v>
      </c>
      <c r="E27" s="378">
        <v>7</v>
      </c>
      <c r="F27" s="663">
        <v>0</v>
      </c>
      <c r="G27" s="663">
        <v>26</v>
      </c>
      <c r="H27" s="500">
        <v>0</v>
      </c>
      <c r="I27" s="500">
        <v>2</v>
      </c>
      <c r="J27" s="500">
        <v>34</v>
      </c>
      <c r="K27" s="500">
        <v>32</v>
      </c>
      <c r="L27" s="378">
        <v>38</v>
      </c>
      <c r="M27" s="663">
        <f>+C27+E27+G27+I27+K27</f>
        <v>67</v>
      </c>
      <c r="N27" s="378">
        <f>+D27+F27+H27+J27+L27</f>
        <v>72</v>
      </c>
      <c r="O27" s="663">
        <f>SUM(M27:N27)</f>
        <v>139</v>
      </c>
      <c r="P27" s="663">
        <v>605</v>
      </c>
      <c r="Q27" s="664">
        <f>SUM(E27:J28)/P27*100</f>
        <v>36.694214876033058</v>
      </c>
    </row>
    <row r="28" spans="1:19" s="6" customFormat="1" ht="21" customHeight="1">
      <c r="A28" s="388"/>
      <c r="B28" s="350" t="s">
        <v>900</v>
      </c>
      <c r="C28" s="661">
        <v>1</v>
      </c>
      <c r="D28" s="663">
        <v>0</v>
      </c>
      <c r="E28" s="378">
        <v>14</v>
      </c>
      <c r="F28" s="663">
        <v>2</v>
      </c>
      <c r="G28" s="663">
        <v>56</v>
      </c>
      <c r="H28" s="500">
        <v>17</v>
      </c>
      <c r="I28" s="500">
        <v>6</v>
      </c>
      <c r="J28" s="500">
        <v>58</v>
      </c>
      <c r="K28" s="500">
        <v>52</v>
      </c>
      <c r="L28" s="378">
        <v>79</v>
      </c>
      <c r="M28" s="663">
        <f t="shared" si="0"/>
        <v>129</v>
      </c>
      <c r="N28" s="378">
        <f t="shared" si="1"/>
        <v>156</v>
      </c>
      <c r="O28" s="663">
        <f t="shared" si="2"/>
        <v>285</v>
      </c>
      <c r="P28" s="663">
        <v>805</v>
      </c>
      <c r="Q28" s="664">
        <f t="shared" ref="Q28:Q34" si="3">SUM(E28:J28)/P28*100</f>
        <v>19.006211180124225</v>
      </c>
    </row>
    <row r="29" spans="1:19" s="6" customFormat="1" ht="21" customHeight="1">
      <c r="A29" s="388" t="s">
        <v>687</v>
      </c>
      <c r="B29" s="350" t="s">
        <v>901</v>
      </c>
      <c r="C29" s="661">
        <v>0</v>
      </c>
      <c r="D29" s="663">
        <v>0</v>
      </c>
      <c r="E29" s="378">
        <v>66</v>
      </c>
      <c r="F29" s="663">
        <v>0</v>
      </c>
      <c r="G29" s="663">
        <v>137</v>
      </c>
      <c r="H29" s="500">
        <v>0</v>
      </c>
      <c r="I29" s="500">
        <v>0</v>
      </c>
      <c r="J29" s="500">
        <v>146</v>
      </c>
      <c r="K29" s="500">
        <v>202</v>
      </c>
      <c r="L29" s="378">
        <v>192</v>
      </c>
      <c r="M29" s="663">
        <f t="shared" si="0"/>
        <v>405</v>
      </c>
      <c r="N29" s="378">
        <f t="shared" si="1"/>
        <v>338</v>
      </c>
      <c r="O29" s="663">
        <f t="shared" si="2"/>
        <v>743</v>
      </c>
      <c r="P29" s="663">
        <v>3583</v>
      </c>
      <c r="Q29" s="664">
        <f t="shared" si="3"/>
        <v>9.7404409712531397</v>
      </c>
    </row>
    <row r="30" spans="1:19" s="6" customFormat="1" ht="21" customHeight="1">
      <c r="A30" s="388" t="s">
        <v>688</v>
      </c>
      <c r="B30" s="303" t="s">
        <v>1391</v>
      </c>
      <c r="C30" s="661">
        <v>0</v>
      </c>
      <c r="D30" s="663">
        <v>0</v>
      </c>
      <c r="E30" s="378">
        <v>0</v>
      </c>
      <c r="F30" s="663">
        <v>1</v>
      </c>
      <c r="G30" s="663">
        <v>9</v>
      </c>
      <c r="H30" s="500">
        <v>26</v>
      </c>
      <c r="I30" s="500">
        <v>11</v>
      </c>
      <c r="J30" s="500">
        <v>19</v>
      </c>
      <c r="K30" s="500">
        <v>0</v>
      </c>
      <c r="L30" s="378">
        <v>0</v>
      </c>
      <c r="M30" s="663">
        <f>+C30+E30+G30+I30+K30</f>
        <v>20</v>
      </c>
      <c r="N30" s="378">
        <f>+D30+F30+H30+J30+L30</f>
        <v>46</v>
      </c>
      <c r="O30" s="663">
        <f>SUM(M30:N30)</f>
        <v>66</v>
      </c>
      <c r="P30" s="663"/>
      <c r="Q30" s="664"/>
    </row>
    <row r="31" spans="1:19" s="6" customFormat="1" ht="21" customHeight="1">
      <c r="A31" s="388" t="s">
        <v>688</v>
      </c>
      <c r="B31" s="350" t="s">
        <v>697</v>
      </c>
      <c r="C31" s="661">
        <v>6</v>
      </c>
      <c r="D31" s="663">
        <v>0</v>
      </c>
      <c r="E31" s="378">
        <v>61</v>
      </c>
      <c r="F31" s="663">
        <v>16</v>
      </c>
      <c r="G31" s="663">
        <v>243</v>
      </c>
      <c r="H31" s="500">
        <v>149</v>
      </c>
      <c r="I31" s="500">
        <v>61</v>
      </c>
      <c r="J31" s="500">
        <v>341</v>
      </c>
      <c r="K31" s="500">
        <v>193</v>
      </c>
      <c r="L31" s="378">
        <v>390</v>
      </c>
      <c r="M31" s="663">
        <f t="shared" si="0"/>
        <v>564</v>
      </c>
      <c r="N31" s="378">
        <f t="shared" si="1"/>
        <v>896</v>
      </c>
      <c r="O31" s="663">
        <f t="shared" si="2"/>
        <v>1460</v>
      </c>
      <c r="P31" s="663">
        <v>11346</v>
      </c>
      <c r="Q31" s="664">
        <f>SUM(E30:J31)/P31*100</f>
        <v>8.2584170632822147</v>
      </c>
    </row>
    <row r="32" spans="1:19" s="6" customFormat="1" ht="21" customHeight="1">
      <c r="A32" s="388"/>
      <c r="B32" s="350" t="s">
        <v>903</v>
      </c>
      <c r="C32" s="661">
        <v>6</v>
      </c>
      <c r="D32" s="663">
        <v>11</v>
      </c>
      <c r="E32" s="378">
        <v>62</v>
      </c>
      <c r="F32" s="663">
        <v>33</v>
      </c>
      <c r="G32" s="663">
        <v>176</v>
      </c>
      <c r="H32" s="500">
        <v>157</v>
      </c>
      <c r="I32" s="500">
        <v>86</v>
      </c>
      <c r="J32" s="500">
        <v>170</v>
      </c>
      <c r="K32" s="500">
        <v>298</v>
      </c>
      <c r="L32" s="378">
        <v>371</v>
      </c>
      <c r="M32" s="663">
        <f>+C32+E32+G32+I32+K32</f>
        <v>628</v>
      </c>
      <c r="N32" s="378">
        <f>+D32+F32+H32+J32+L32</f>
        <v>742</v>
      </c>
      <c r="O32" s="663">
        <f>SUM(M32:N32)</f>
        <v>1370</v>
      </c>
      <c r="P32" s="663">
        <v>5809</v>
      </c>
      <c r="Q32" s="664">
        <f t="shared" si="3"/>
        <v>11.774832156997762</v>
      </c>
    </row>
    <row r="33" spans="1:17" s="6" customFormat="1" ht="21" customHeight="1">
      <c r="A33" s="388" t="s">
        <v>689</v>
      </c>
      <c r="B33" s="303" t="s">
        <v>1337</v>
      </c>
      <c r="C33" s="661">
        <v>0</v>
      </c>
      <c r="D33" s="663">
        <v>1</v>
      </c>
      <c r="E33" s="378">
        <v>13</v>
      </c>
      <c r="F33" s="663">
        <v>3</v>
      </c>
      <c r="G33" s="663">
        <v>47</v>
      </c>
      <c r="H33" s="500">
        <v>38</v>
      </c>
      <c r="I33" s="500">
        <v>13</v>
      </c>
      <c r="J33" s="500">
        <v>36</v>
      </c>
      <c r="K33" s="500">
        <v>48</v>
      </c>
      <c r="L33" s="378">
        <v>55</v>
      </c>
      <c r="M33" s="663">
        <f t="shared" si="0"/>
        <v>121</v>
      </c>
      <c r="N33" s="378">
        <f t="shared" si="1"/>
        <v>133</v>
      </c>
      <c r="O33" s="663">
        <f t="shared" si="2"/>
        <v>254</v>
      </c>
      <c r="P33" s="663">
        <v>411</v>
      </c>
      <c r="Q33" s="664">
        <f t="shared" si="3"/>
        <v>36.496350364963504</v>
      </c>
    </row>
    <row r="34" spans="1:17" s="6" customFormat="1" ht="21" customHeight="1">
      <c r="A34" s="389" t="s">
        <v>690</v>
      </c>
      <c r="B34" s="542"/>
      <c r="C34" s="591">
        <f>SUM(C10:C33)</f>
        <v>58</v>
      </c>
      <c r="D34" s="591">
        <f t="shared" ref="D34:L34" si="4">SUM(D10:D33)</f>
        <v>60</v>
      </c>
      <c r="E34" s="591">
        <f t="shared" si="4"/>
        <v>1236</v>
      </c>
      <c r="F34" s="591">
        <f t="shared" si="4"/>
        <v>271</v>
      </c>
      <c r="G34" s="591">
        <f t="shared" si="4"/>
        <v>3842</v>
      </c>
      <c r="H34" s="591">
        <f t="shared" si="4"/>
        <v>1636</v>
      </c>
      <c r="I34" s="591">
        <f t="shared" si="4"/>
        <v>796</v>
      </c>
      <c r="J34" s="591">
        <f t="shared" si="4"/>
        <v>4663</v>
      </c>
      <c r="K34" s="591">
        <f t="shared" si="4"/>
        <v>4135</v>
      </c>
      <c r="L34" s="591">
        <f t="shared" si="4"/>
        <v>6000</v>
      </c>
      <c r="M34" s="591">
        <f>SUM(M10:M33)</f>
        <v>10067</v>
      </c>
      <c r="N34" s="382">
        <f>SUM(N10:N33)</f>
        <v>12630</v>
      </c>
      <c r="O34" s="591">
        <f>SUM(O10:O33)</f>
        <v>22697</v>
      </c>
      <c r="P34" s="591">
        <f>SUM(P10:P33)</f>
        <v>125414</v>
      </c>
      <c r="Q34" s="665">
        <f t="shared" si="3"/>
        <v>9.9223372191302417</v>
      </c>
    </row>
    <row r="35" spans="1:17">
      <c r="A35" s="221"/>
      <c r="B35" s="11"/>
      <c r="C35" s="11"/>
      <c r="D35" s="11"/>
      <c r="E35" s="11"/>
      <c r="F35" s="11"/>
      <c r="G35" s="11"/>
      <c r="H35" s="11"/>
      <c r="I35" s="11"/>
      <c r="J35" s="11"/>
      <c r="K35" s="208"/>
      <c r="L35" s="208"/>
      <c r="M35" s="208"/>
      <c r="N35" s="208"/>
      <c r="O35" s="208"/>
    </row>
    <row r="36" spans="1:17">
      <c r="A36" s="221"/>
      <c r="B36" s="11"/>
      <c r="C36" s="11"/>
      <c r="D36" s="11"/>
      <c r="E36" s="11"/>
      <c r="F36" s="11"/>
      <c r="G36" s="11"/>
      <c r="H36" s="11"/>
      <c r="I36" s="11"/>
      <c r="J36" s="11"/>
      <c r="K36" s="208"/>
      <c r="L36" s="208"/>
      <c r="M36" s="208"/>
      <c r="N36" s="208"/>
      <c r="O36" s="208"/>
    </row>
    <row r="37" spans="1:17">
      <c r="A37" s="221"/>
      <c r="B37" s="11"/>
      <c r="C37" s="168"/>
      <c r="D37" s="168"/>
      <c r="E37" s="168"/>
      <c r="F37" s="168"/>
      <c r="G37" s="168"/>
      <c r="H37" s="168"/>
      <c r="I37" s="168"/>
      <c r="J37" s="168"/>
      <c r="K37" s="168"/>
      <c r="L37" s="168"/>
      <c r="M37" s="168"/>
      <c r="N37" s="11"/>
      <c r="O37" s="168"/>
    </row>
    <row r="38" spans="1:17">
      <c r="A38" s="221"/>
      <c r="B38" s="11"/>
      <c r="C38" s="11"/>
      <c r="D38" s="11"/>
      <c r="E38" s="11"/>
      <c r="F38" s="11"/>
      <c r="G38" s="11"/>
      <c r="H38" s="11"/>
      <c r="I38" s="11"/>
      <c r="J38" s="11"/>
      <c r="K38" s="11"/>
      <c r="L38" s="11"/>
      <c r="M38" s="11"/>
      <c r="N38" s="11"/>
      <c r="O38" s="168"/>
    </row>
    <row r="39" spans="1:17">
      <c r="A39" s="221"/>
      <c r="B39" s="11"/>
      <c r="C39" s="11"/>
      <c r="D39" s="11"/>
      <c r="E39" s="11"/>
      <c r="F39" s="11"/>
      <c r="G39" s="11"/>
      <c r="H39" s="11"/>
      <c r="I39" s="11"/>
      <c r="J39" s="11"/>
      <c r="K39" s="11"/>
      <c r="L39" s="11"/>
      <c r="M39" s="11"/>
      <c r="N39" s="11"/>
      <c r="O39" s="11"/>
    </row>
    <row r="40" spans="1:17">
      <c r="A40" s="221"/>
      <c r="B40" s="11"/>
      <c r="C40" s="11"/>
      <c r="D40" s="168"/>
      <c r="E40" s="168"/>
      <c r="F40" s="168"/>
      <c r="G40" s="168"/>
      <c r="H40" s="168"/>
      <c r="I40" s="11"/>
      <c r="J40" s="11"/>
      <c r="K40" s="11"/>
      <c r="L40" s="11"/>
      <c r="M40" s="11"/>
      <c r="N40" s="11"/>
      <c r="O40" s="168"/>
    </row>
    <row r="41" spans="1:17">
      <c r="A41" s="221"/>
      <c r="B41" s="11"/>
      <c r="C41" s="11"/>
      <c r="D41" s="11"/>
      <c r="E41" s="11"/>
      <c r="F41" s="11"/>
      <c r="G41" s="11"/>
      <c r="H41" s="11"/>
      <c r="I41" s="11"/>
      <c r="J41" s="11"/>
      <c r="K41" s="11"/>
      <c r="L41" s="11"/>
      <c r="M41" s="11"/>
      <c r="N41" s="11"/>
      <c r="O41" s="168"/>
    </row>
    <row r="42" spans="1:17">
      <c r="A42" s="221"/>
      <c r="B42" s="221"/>
      <c r="C42" s="221"/>
      <c r="D42" s="221"/>
      <c r="E42" s="221"/>
      <c r="F42" s="221"/>
      <c r="G42" s="221"/>
      <c r="H42" s="221"/>
      <c r="I42" s="221"/>
      <c r="J42" s="221"/>
      <c r="K42" s="221"/>
      <c r="L42" s="221"/>
      <c r="M42" s="221"/>
      <c r="N42" s="221"/>
      <c r="O42" s="221"/>
    </row>
    <row r="43" spans="1:17">
      <c r="A43" s="221"/>
      <c r="B43" s="221"/>
      <c r="C43" s="221"/>
      <c r="D43" s="221"/>
      <c r="E43" s="221"/>
      <c r="F43" s="221"/>
      <c r="G43" s="221"/>
      <c r="H43" s="221"/>
      <c r="I43" s="221"/>
      <c r="J43" s="221"/>
      <c r="K43" s="221"/>
      <c r="L43" s="221"/>
      <c r="M43" s="221"/>
      <c r="N43" s="221"/>
      <c r="O43" s="219"/>
    </row>
    <row r="44" spans="1:17">
      <c r="A44" s="221"/>
      <c r="B44" s="221"/>
      <c r="C44" s="221"/>
      <c r="D44" s="221"/>
      <c r="E44" s="221"/>
      <c r="F44" s="221"/>
      <c r="G44" s="221"/>
      <c r="H44" s="221"/>
      <c r="I44" s="221"/>
      <c r="J44" s="221"/>
      <c r="K44" s="221"/>
      <c r="L44" s="221"/>
      <c r="M44" s="221"/>
      <c r="N44" s="221"/>
      <c r="O44" s="221"/>
    </row>
    <row r="45" spans="1:17">
      <c r="A45" s="221"/>
      <c r="B45" s="221"/>
      <c r="C45" s="221"/>
      <c r="D45" s="221"/>
      <c r="E45" s="221"/>
      <c r="F45" s="221"/>
      <c r="G45" s="221"/>
      <c r="H45" s="221"/>
      <c r="I45" s="221"/>
      <c r="J45" s="221"/>
      <c r="K45" s="221"/>
      <c r="L45" s="221"/>
      <c r="M45" s="221"/>
      <c r="N45" s="221"/>
      <c r="O45" s="221"/>
    </row>
    <row r="46" spans="1:17">
      <c r="A46" s="221"/>
      <c r="B46" s="221"/>
      <c r="C46" s="221"/>
      <c r="D46" s="221"/>
      <c r="E46" s="221"/>
      <c r="F46" s="221"/>
      <c r="G46" s="221"/>
      <c r="H46" s="221"/>
      <c r="I46" s="221"/>
      <c r="J46" s="221"/>
      <c r="K46" s="221"/>
      <c r="L46" s="221"/>
      <c r="M46" s="221"/>
      <c r="N46" s="221"/>
      <c r="O46" s="221"/>
    </row>
    <row r="47" spans="1:17">
      <c r="A47" s="221"/>
      <c r="B47" s="221"/>
      <c r="C47" s="221"/>
      <c r="D47" s="221"/>
      <c r="E47" s="221"/>
      <c r="F47" s="221"/>
      <c r="G47" s="221"/>
      <c r="H47" s="221"/>
      <c r="I47" s="221"/>
      <c r="J47" s="221"/>
      <c r="K47" s="221"/>
      <c r="L47" s="221"/>
      <c r="M47" s="221"/>
      <c r="N47" s="221"/>
      <c r="O47" s="221"/>
    </row>
    <row r="48" spans="1:17">
      <c r="A48" s="221"/>
      <c r="B48" s="221"/>
      <c r="C48" s="221"/>
      <c r="D48" s="221"/>
      <c r="E48" s="221"/>
      <c r="F48" s="221"/>
      <c r="G48" s="221"/>
      <c r="H48" s="221"/>
      <c r="I48" s="221"/>
      <c r="J48" s="221"/>
      <c r="K48" s="221"/>
      <c r="L48" s="221"/>
      <c r="M48" s="221"/>
      <c r="N48" s="221"/>
      <c r="O48" s="221"/>
    </row>
    <row r="49" spans="1:15">
      <c r="A49" s="221"/>
      <c r="B49" s="221"/>
      <c r="C49" s="221"/>
      <c r="D49" s="221"/>
      <c r="E49" s="221"/>
      <c r="F49" s="221"/>
      <c r="G49" s="221"/>
      <c r="H49" s="221"/>
      <c r="I49" s="221"/>
      <c r="J49" s="221"/>
      <c r="K49" s="221"/>
      <c r="L49" s="221"/>
      <c r="M49" s="221"/>
      <c r="N49" s="221"/>
      <c r="O49" s="221"/>
    </row>
    <row r="50" spans="1:15">
      <c r="A50" s="221"/>
      <c r="B50" s="221"/>
      <c r="C50" s="221"/>
      <c r="D50" s="221"/>
      <c r="E50" s="221"/>
      <c r="F50" s="221"/>
      <c r="G50" s="221"/>
      <c r="H50" s="221"/>
      <c r="I50" s="221"/>
      <c r="J50" s="221"/>
      <c r="K50" s="221"/>
      <c r="L50" s="221"/>
      <c r="M50" s="221"/>
      <c r="N50" s="221"/>
      <c r="O50" s="221"/>
    </row>
    <row r="51" spans="1:15">
      <c r="A51" s="221"/>
      <c r="B51" s="221"/>
      <c r="C51" s="221"/>
      <c r="D51" s="221"/>
      <c r="E51" s="221"/>
      <c r="F51" s="221"/>
      <c r="G51" s="221"/>
      <c r="H51" s="221"/>
      <c r="I51" s="221"/>
      <c r="J51" s="221"/>
      <c r="K51" s="221"/>
      <c r="L51" s="221"/>
      <c r="M51" s="221"/>
      <c r="N51" s="221"/>
      <c r="O51" s="221"/>
    </row>
    <row r="52" spans="1:15">
      <c r="A52" s="221"/>
      <c r="B52" s="221"/>
      <c r="C52" s="221"/>
      <c r="D52" s="221"/>
      <c r="E52" s="221"/>
      <c r="F52" s="221"/>
      <c r="G52" s="221"/>
      <c r="H52" s="221"/>
      <c r="I52" s="221"/>
      <c r="J52" s="221"/>
      <c r="K52" s="221"/>
      <c r="L52" s="221"/>
      <c r="M52" s="221"/>
      <c r="N52" s="221"/>
      <c r="O52" s="221"/>
    </row>
    <row r="53" spans="1:15">
      <c r="A53" s="221"/>
      <c r="B53" s="221"/>
      <c r="C53" s="221"/>
      <c r="D53" s="221"/>
      <c r="E53" s="221"/>
      <c r="F53" s="221"/>
      <c r="G53" s="221"/>
      <c r="H53" s="221"/>
      <c r="I53" s="221"/>
      <c r="J53" s="221"/>
      <c r="K53" s="221"/>
      <c r="L53" s="221"/>
      <c r="M53" s="221"/>
      <c r="N53" s="221"/>
      <c r="O53" s="221"/>
    </row>
    <row r="54" spans="1:15">
      <c r="A54" s="221"/>
      <c r="B54" s="221"/>
      <c r="C54" s="221"/>
      <c r="D54" s="221"/>
      <c r="E54" s="221"/>
      <c r="F54" s="221"/>
      <c r="G54" s="221"/>
      <c r="H54" s="221"/>
      <c r="I54" s="221"/>
      <c r="J54" s="221"/>
      <c r="K54" s="221"/>
      <c r="L54" s="221"/>
      <c r="M54" s="221"/>
      <c r="N54" s="221"/>
      <c r="O54" s="221"/>
    </row>
    <row r="55" spans="1:15">
      <c r="A55" s="221"/>
      <c r="B55" s="221"/>
      <c r="C55" s="221"/>
      <c r="D55" s="221"/>
      <c r="E55" s="221"/>
      <c r="F55" s="221"/>
      <c r="G55" s="221"/>
      <c r="H55" s="221"/>
      <c r="I55" s="221"/>
      <c r="J55" s="221"/>
      <c r="K55" s="221"/>
      <c r="L55" s="221"/>
      <c r="M55" s="221"/>
      <c r="N55" s="221"/>
      <c r="O55" s="221"/>
    </row>
    <row r="56" spans="1:15">
      <c r="A56" s="221"/>
      <c r="B56" s="221"/>
      <c r="C56" s="221"/>
      <c r="D56" s="221"/>
      <c r="E56" s="221"/>
      <c r="F56" s="221"/>
      <c r="G56" s="221"/>
      <c r="H56" s="221"/>
      <c r="I56" s="221"/>
      <c r="J56" s="221"/>
      <c r="K56" s="221"/>
      <c r="L56" s="221"/>
      <c r="M56" s="221"/>
      <c r="N56" s="221"/>
      <c r="O56" s="221"/>
    </row>
    <row r="57" spans="1:15">
      <c r="A57" s="221"/>
      <c r="B57" s="221"/>
      <c r="C57" s="221"/>
      <c r="D57" s="221"/>
      <c r="E57" s="221"/>
      <c r="F57" s="221"/>
      <c r="G57" s="221"/>
      <c r="H57" s="221"/>
      <c r="I57" s="221"/>
      <c r="J57" s="221"/>
      <c r="K57" s="221"/>
      <c r="L57" s="221"/>
      <c r="M57" s="221"/>
      <c r="N57" s="221"/>
      <c r="O57" s="221"/>
    </row>
    <row r="58" spans="1:15">
      <c r="A58" s="221"/>
      <c r="B58" s="221"/>
      <c r="C58" s="221"/>
      <c r="D58" s="221"/>
      <c r="E58" s="221"/>
      <c r="F58" s="221"/>
      <c r="G58" s="221"/>
      <c r="H58" s="221"/>
      <c r="I58" s="221"/>
      <c r="J58" s="221"/>
      <c r="K58" s="221"/>
      <c r="L58" s="221"/>
      <c r="M58" s="221"/>
      <c r="N58" s="221"/>
      <c r="O58" s="221"/>
    </row>
    <row r="59" spans="1:15">
      <c r="A59" s="221"/>
      <c r="B59" s="221"/>
      <c r="C59" s="221"/>
      <c r="D59" s="221"/>
      <c r="E59" s="221"/>
      <c r="F59" s="221"/>
      <c r="G59" s="221"/>
      <c r="H59" s="221"/>
      <c r="I59" s="221"/>
      <c r="J59" s="221"/>
      <c r="K59" s="221"/>
      <c r="L59" s="221"/>
      <c r="M59" s="221"/>
      <c r="N59" s="221"/>
      <c r="O59" s="221"/>
    </row>
    <row r="60" spans="1:15">
      <c r="A60" s="221"/>
      <c r="B60" s="221"/>
      <c r="C60" s="221"/>
      <c r="D60" s="221"/>
      <c r="E60" s="221"/>
      <c r="F60" s="221"/>
      <c r="G60" s="221"/>
      <c r="H60" s="221"/>
      <c r="I60" s="221"/>
      <c r="J60" s="221"/>
      <c r="K60" s="221"/>
      <c r="L60" s="221"/>
      <c r="M60" s="221"/>
      <c r="N60" s="221"/>
      <c r="O60" s="221"/>
    </row>
    <row r="61" spans="1:15">
      <c r="A61" s="221"/>
      <c r="B61" s="221"/>
      <c r="C61" s="221"/>
      <c r="D61" s="221"/>
      <c r="E61" s="221"/>
      <c r="F61" s="221"/>
      <c r="G61" s="221"/>
      <c r="H61" s="221"/>
      <c r="I61" s="221"/>
      <c r="J61" s="221"/>
      <c r="K61" s="221"/>
      <c r="L61" s="221"/>
      <c r="M61" s="221"/>
      <c r="N61" s="221"/>
      <c r="O61" s="221"/>
    </row>
    <row r="62" spans="1:15">
      <c r="A62" s="221"/>
      <c r="B62" s="221"/>
      <c r="C62" s="221"/>
      <c r="D62" s="221"/>
      <c r="E62" s="221"/>
      <c r="F62" s="221"/>
      <c r="G62" s="221"/>
      <c r="H62" s="221"/>
      <c r="I62" s="221"/>
      <c r="J62" s="221"/>
      <c r="K62" s="221"/>
      <c r="L62" s="221"/>
      <c r="M62" s="221"/>
      <c r="N62" s="221"/>
      <c r="O62" s="221"/>
    </row>
    <row r="63" spans="1:15">
      <c r="A63" s="221"/>
      <c r="B63" s="221"/>
      <c r="C63" s="221"/>
      <c r="D63" s="221"/>
      <c r="E63" s="221"/>
      <c r="F63" s="221"/>
      <c r="G63" s="221"/>
      <c r="H63" s="221"/>
      <c r="I63" s="221"/>
      <c r="J63" s="221"/>
      <c r="K63" s="221"/>
      <c r="L63" s="221"/>
      <c r="M63" s="221"/>
      <c r="N63" s="221"/>
      <c r="O63" s="221"/>
    </row>
    <row r="64" spans="1:15">
      <c r="A64" s="221"/>
      <c r="B64" s="221"/>
      <c r="C64" s="221"/>
      <c r="D64" s="221"/>
      <c r="E64" s="221"/>
      <c r="F64" s="221"/>
      <c r="G64" s="221"/>
      <c r="H64" s="221"/>
      <c r="I64" s="221"/>
      <c r="J64" s="221"/>
      <c r="K64" s="221"/>
      <c r="L64" s="221"/>
      <c r="M64" s="221"/>
      <c r="N64" s="221"/>
      <c r="O64" s="221"/>
    </row>
    <row r="65" spans="1:15">
      <c r="A65" s="221"/>
      <c r="B65" s="221"/>
      <c r="C65" s="221"/>
      <c r="D65" s="221"/>
      <c r="E65" s="221"/>
      <c r="F65" s="221"/>
      <c r="G65" s="221"/>
      <c r="H65" s="221"/>
      <c r="I65" s="221"/>
      <c r="J65" s="221"/>
      <c r="K65" s="221"/>
      <c r="L65" s="221"/>
      <c r="M65" s="221"/>
      <c r="N65" s="221"/>
      <c r="O65" s="221"/>
    </row>
    <row r="66" spans="1:15">
      <c r="A66" s="221"/>
      <c r="B66" s="221"/>
      <c r="C66" s="221"/>
      <c r="D66" s="221"/>
      <c r="E66" s="221"/>
      <c r="F66" s="221"/>
      <c r="G66" s="221"/>
      <c r="H66" s="221"/>
      <c r="I66" s="221"/>
      <c r="J66" s="221"/>
      <c r="K66" s="221"/>
      <c r="L66" s="221"/>
      <c r="M66" s="221"/>
      <c r="N66" s="221"/>
      <c r="O66" s="221"/>
    </row>
    <row r="67" spans="1:15">
      <c r="A67" s="221"/>
      <c r="B67" s="221"/>
      <c r="C67" s="221"/>
      <c r="D67" s="221"/>
      <c r="E67" s="221"/>
      <c r="F67" s="221"/>
      <c r="G67" s="221"/>
      <c r="H67" s="221"/>
      <c r="I67" s="221"/>
      <c r="J67" s="221"/>
      <c r="K67" s="221"/>
      <c r="L67" s="221"/>
      <c r="M67" s="221"/>
      <c r="N67" s="221"/>
      <c r="O67" s="221"/>
    </row>
    <row r="68" spans="1:15">
      <c r="A68" s="221"/>
      <c r="B68" s="221"/>
      <c r="C68" s="221"/>
      <c r="D68" s="221"/>
      <c r="E68" s="221"/>
      <c r="F68" s="221"/>
      <c r="G68" s="221"/>
      <c r="H68" s="221"/>
      <c r="I68" s="221"/>
      <c r="J68" s="221"/>
      <c r="K68" s="221"/>
      <c r="L68" s="221"/>
      <c r="M68" s="221"/>
      <c r="N68" s="221"/>
      <c r="O68" s="221"/>
    </row>
    <row r="69" spans="1:15">
      <c r="A69" s="221"/>
      <c r="B69" s="221"/>
      <c r="C69" s="221"/>
      <c r="D69" s="221"/>
      <c r="E69" s="221"/>
      <c r="F69" s="221"/>
      <c r="G69" s="221"/>
      <c r="H69" s="221"/>
      <c r="I69" s="221"/>
      <c r="J69" s="221"/>
      <c r="K69" s="221"/>
      <c r="L69" s="221"/>
      <c r="M69" s="221"/>
      <c r="N69" s="221"/>
      <c r="O69" s="221"/>
    </row>
    <row r="70" spans="1:15">
      <c r="A70" s="221"/>
      <c r="B70" s="221"/>
      <c r="C70" s="221"/>
      <c r="D70" s="221"/>
      <c r="E70" s="221"/>
      <c r="F70" s="221"/>
      <c r="G70" s="221"/>
      <c r="H70" s="221"/>
      <c r="I70" s="221"/>
      <c r="J70" s="221"/>
      <c r="K70" s="221"/>
      <c r="L70" s="221"/>
      <c r="M70" s="221"/>
      <c r="N70" s="221"/>
      <c r="O70" s="221"/>
    </row>
    <row r="71" spans="1:15">
      <c r="A71" s="221"/>
      <c r="B71" s="221"/>
      <c r="C71" s="221"/>
      <c r="D71" s="221"/>
      <c r="E71" s="221"/>
      <c r="F71" s="221"/>
      <c r="G71" s="221"/>
      <c r="H71" s="221"/>
      <c r="I71" s="221"/>
      <c r="J71" s="221"/>
      <c r="K71" s="221"/>
      <c r="L71" s="221"/>
      <c r="M71" s="221"/>
      <c r="N71" s="221"/>
      <c r="O71" s="221"/>
    </row>
    <row r="72" spans="1:15">
      <c r="A72" s="221"/>
      <c r="B72" s="221"/>
      <c r="C72" s="221"/>
      <c r="D72" s="221"/>
      <c r="E72" s="221"/>
      <c r="F72" s="221"/>
      <c r="G72" s="221"/>
      <c r="H72" s="221"/>
      <c r="I72" s="221"/>
      <c r="J72" s="221"/>
      <c r="K72" s="221"/>
      <c r="L72" s="221"/>
      <c r="M72" s="221"/>
      <c r="N72" s="221"/>
      <c r="O72" s="221"/>
    </row>
    <row r="73" spans="1:15">
      <c r="A73" s="221"/>
      <c r="B73" s="221"/>
      <c r="C73" s="221"/>
      <c r="D73" s="221"/>
      <c r="E73" s="221"/>
      <c r="F73" s="221"/>
      <c r="G73" s="221"/>
      <c r="H73" s="221"/>
      <c r="I73" s="221"/>
      <c r="J73" s="221"/>
      <c r="K73" s="221"/>
      <c r="L73" s="221"/>
      <c r="M73" s="221"/>
      <c r="N73" s="221"/>
      <c r="O73" s="221"/>
    </row>
    <row r="74" spans="1:15">
      <c r="A74" s="221"/>
      <c r="B74" s="221"/>
      <c r="C74" s="221"/>
      <c r="D74" s="221"/>
      <c r="E74" s="221"/>
      <c r="F74" s="221"/>
      <c r="G74" s="221"/>
      <c r="H74" s="221"/>
      <c r="I74" s="221"/>
      <c r="J74" s="221"/>
      <c r="K74" s="221"/>
      <c r="L74" s="221"/>
      <c r="M74" s="221"/>
      <c r="N74" s="221"/>
      <c r="O74" s="221"/>
    </row>
    <row r="75" spans="1:15">
      <c r="A75" s="221"/>
      <c r="B75" s="221"/>
      <c r="C75" s="221"/>
      <c r="D75" s="221"/>
      <c r="E75" s="221"/>
      <c r="F75" s="221"/>
      <c r="G75" s="221"/>
      <c r="H75" s="221"/>
      <c r="I75" s="221"/>
      <c r="J75" s="221"/>
      <c r="K75" s="221"/>
      <c r="L75" s="221"/>
      <c r="M75" s="221"/>
      <c r="N75" s="221"/>
      <c r="O75" s="221"/>
    </row>
    <row r="76" spans="1:15">
      <c r="A76" s="221"/>
      <c r="B76" s="221"/>
      <c r="C76" s="221"/>
      <c r="D76" s="221"/>
      <c r="E76" s="221"/>
      <c r="F76" s="221"/>
      <c r="G76" s="221"/>
      <c r="H76" s="221"/>
      <c r="I76" s="221"/>
      <c r="J76" s="221"/>
      <c r="K76" s="221"/>
      <c r="L76" s="221"/>
      <c r="M76" s="221"/>
      <c r="N76" s="221"/>
      <c r="O76" s="221"/>
    </row>
    <row r="77" spans="1:15">
      <c r="A77" s="221"/>
      <c r="B77" s="221"/>
      <c r="C77" s="221"/>
      <c r="D77" s="221"/>
      <c r="E77" s="221"/>
      <c r="F77" s="221"/>
      <c r="G77" s="221"/>
      <c r="H77" s="221"/>
      <c r="I77" s="221"/>
      <c r="J77" s="221"/>
      <c r="K77" s="221"/>
      <c r="L77" s="221"/>
      <c r="M77" s="221"/>
      <c r="N77" s="221"/>
      <c r="O77" s="221"/>
    </row>
    <row r="78" spans="1:15">
      <c r="A78" s="221"/>
      <c r="B78" s="221"/>
      <c r="C78" s="221"/>
      <c r="D78" s="221"/>
      <c r="E78" s="221"/>
      <c r="F78" s="221"/>
      <c r="G78" s="221"/>
      <c r="H78" s="221"/>
      <c r="I78" s="221"/>
      <c r="J78" s="221"/>
      <c r="K78" s="221"/>
      <c r="L78" s="221"/>
      <c r="M78" s="221"/>
      <c r="N78" s="221"/>
      <c r="O78" s="221"/>
    </row>
    <row r="79" spans="1:15">
      <c r="A79" s="221"/>
      <c r="B79" s="221"/>
      <c r="C79" s="221"/>
      <c r="D79" s="221"/>
      <c r="E79" s="221"/>
      <c r="F79" s="221"/>
      <c r="G79" s="221"/>
      <c r="H79" s="221"/>
      <c r="I79" s="221"/>
      <c r="J79" s="221"/>
      <c r="K79" s="221"/>
      <c r="L79" s="221"/>
      <c r="M79" s="221"/>
      <c r="N79" s="221"/>
      <c r="O79" s="221"/>
    </row>
    <row r="80" spans="1:15">
      <c r="A80" s="221"/>
      <c r="B80" s="221"/>
      <c r="C80" s="221"/>
      <c r="D80" s="221"/>
      <c r="E80" s="221"/>
      <c r="F80" s="221"/>
      <c r="G80" s="221"/>
      <c r="H80" s="221"/>
      <c r="I80" s="221"/>
      <c r="J80" s="221"/>
      <c r="K80" s="221"/>
      <c r="L80" s="221"/>
      <c r="M80" s="221"/>
      <c r="N80" s="221"/>
      <c r="O80" s="221"/>
    </row>
    <row r="81" spans="1:15">
      <c r="A81" s="221"/>
      <c r="B81" s="221"/>
      <c r="C81" s="221"/>
      <c r="D81" s="221"/>
      <c r="E81" s="221"/>
      <c r="F81" s="221"/>
      <c r="G81" s="221"/>
      <c r="H81" s="221"/>
      <c r="I81" s="221"/>
      <c r="J81" s="221"/>
      <c r="K81" s="221"/>
      <c r="L81" s="221"/>
      <c r="M81" s="221"/>
      <c r="N81" s="221"/>
      <c r="O81" s="221"/>
    </row>
    <row r="82" spans="1:15">
      <c r="A82" s="221"/>
      <c r="B82" s="221"/>
      <c r="C82" s="221"/>
      <c r="D82" s="221"/>
      <c r="E82" s="221"/>
      <c r="F82" s="221"/>
      <c r="G82" s="221"/>
      <c r="H82" s="221"/>
      <c r="I82" s="221"/>
      <c r="J82" s="221"/>
      <c r="K82" s="221"/>
      <c r="L82" s="221"/>
      <c r="M82" s="221"/>
      <c r="N82" s="221"/>
      <c r="O82" s="221"/>
    </row>
    <row r="83" spans="1:15">
      <c r="A83" s="221"/>
      <c r="B83" s="221"/>
      <c r="C83" s="221"/>
      <c r="D83" s="221"/>
      <c r="E83" s="221"/>
      <c r="F83" s="221"/>
      <c r="G83" s="221"/>
      <c r="H83" s="221"/>
      <c r="I83" s="221"/>
      <c r="J83" s="221"/>
      <c r="K83" s="221"/>
      <c r="L83" s="221"/>
      <c r="M83" s="221"/>
      <c r="N83" s="221"/>
      <c r="O83" s="221"/>
    </row>
    <row r="84" spans="1:15">
      <c r="A84" s="221"/>
      <c r="B84" s="221"/>
      <c r="C84" s="221"/>
      <c r="D84" s="221"/>
      <c r="E84" s="221"/>
      <c r="F84" s="221"/>
      <c r="G84" s="221"/>
      <c r="H84" s="221"/>
      <c r="I84" s="221"/>
      <c r="J84" s="221"/>
      <c r="K84" s="221"/>
      <c r="L84" s="221"/>
      <c r="M84" s="221"/>
      <c r="N84" s="221"/>
      <c r="O84" s="221"/>
    </row>
    <row r="85" spans="1:15">
      <c r="A85" s="221"/>
      <c r="B85" s="221"/>
      <c r="C85" s="221"/>
      <c r="D85" s="221"/>
      <c r="E85" s="221"/>
      <c r="F85" s="221"/>
      <c r="G85" s="221"/>
      <c r="H85" s="221"/>
      <c r="I85" s="221"/>
      <c r="J85" s="221"/>
      <c r="K85" s="221"/>
      <c r="L85" s="221"/>
      <c r="M85" s="221"/>
      <c r="N85" s="221"/>
      <c r="O85" s="221"/>
    </row>
    <row r="86" spans="1:15">
      <c r="A86" s="221"/>
      <c r="B86" s="221"/>
      <c r="C86" s="221"/>
      <c r="D86" s="221"/>
      <c r="E86" s="221"/>
      <c r="F86" s="221"/>
      <c r="G86" s="221"/>
      <c r="H86" s="221"/>
      <c r="I86" s="221"/>
      <c r="J86" s="221"/>
      <c r="K86" s="221"/>
      <c r="L86" s="221"/>
      <c r="M86" s="221"/>
      <c r="N86" s="221"/>
      <c r="O86" s="221"/>
    </row>
    <row r="87" spans="1:15">
      <c r="A87" s="221"/>
      <c r="B87" s="221"/>
      <c r="C87" s="221"/>
      <c r="D87" s="221"/>
      <c r="E87" s="221"/>
      <c r="F87" s="221"/>
      <c r="G87" s="221"/>
      <c r="H87" s="221"/>
      <c r="I87" s="221"/>
      <c r="J87" s="221"/>
      <c r="K87" s="221"/>
      <c r="L87" s="221"/>
      <c r="M87" s="221"/>
      <c r="N87" s="221"/>
      <c r="O87" s="221"/>
    </row>
    <row r="88" spans="1:15">
      <c r="A88" s="221"/>
      <c r="B88" s="221"/>
      <c r="C88" s="221"/>
      <c r="D88" s="221"/>
      <c r="E88" s="221"/>
      <c r="F88" s="221"/>
      <c r="G88" s="221"/>
      <c r="H88" s="221"/>
      <c r="I88" s="221"/>
      <c r="J88" s="221"/>
      <c r="K88" s="221"/>
      <c r="L88" s="221"/>
      <c r="M88" s="221"/>
      <c r="N88" s="221"/>
      <c r="O88" s="221"/>
    </row>
    <row r="89" spans="1:15">
      <c r="A89" s="221"/>
      <c r="B89" s="221"/>
      <c r="C89" s="221"/>
      <c r="D89" s="221"/>
      <c r="E89" s="221"/>
      <c r="F89" s="221"/>
      <c r="G89" s="221"/>
      <c r="H89" s="221"/>
      <c r="I89" s="221"/>
      <c r="J89" s="221"/>
      <c r="K89" s="221"/>
      <c r="L89" s="221"/>
      <c r="M89" s="221"/>
      <c r="N89" s="221"/>
      <c r="O89" s="221"/>
    </row>
    <row r="90" spans="1:15">
      <c r="A90" s="221"/>
      <c r="B90" s="221"/>
      <c r="C90" s="221"/>
      <c r="D90" s="221"/>
      <c r="E90" s="221"/>
      <c r="F90" s="221"/>
      <c r="G90" s="221"/>
      <c r="H90" s="221"/>
      <c r="I90" s="221"/>
      <c r="J90" s="221"/>
      <c r="K90" s="221"/>
      <c r="L90" s="221"/>
      <c r="M90" s="221"/>
      <c r="N90" s="221"/>
      <c r="O90" s="221"/>
    </row>
    <row r="91" spans="1:15">
      <c r="A91" s="221"/>
      <c r="B91" s="221"/>
      <c r="C91" s="221"/>
      <c r="D91" s="221"/>
      <c r="E91" s="221"/>
      <c r="F91" s="221"/>
      <c r="G91" s="221"/>
      <c r="H91" s="221"/>
      <c r="I91" s="221"/>
      <c r="J91" s="221"/>
      <c r="K91" s="221"/>
      <c r="L91" s="221"/>
      <c r="M91" s="221"/>
      <c r="N91" s="221"/>
      <c r="O91" s="221"/>
    </row>
    <row r="92" spans="1:15">
      <c r="A92" s="221"/>
      <c r="B92" s="221"/>
      <c r="C92" s="221"/>
      <c r="D92" s="221"/>
      <c r="E92" s="221"/>
      <c r="F92" s="221"/>
      <c r="G92" s="221"/>
      <c r="H92" s="221"/>
      <c r="I92" s="221"/>
      <c r="J92" s="221"/>
      <c r="K92" s="221"/>
      <c r="L92" s="221"/>
      <c r="M92" s="221"/>
      <c r="N92" s="221"/>
      <c r="O92" s="221"/>
    </row>
    <row r="93" spans="1:15">
      <c r="A93" s="221"/>
      <c r="B93" s="221"/>
      <c r="C93" s="221"/>
      <c r="D93" s="221"/>
      <c r="E93" s="221"/>
      <c r="F93" s="221"/>
      <c r="G93" s="221"/>
      <c r="H93" s="221"/>
      <c r="I93" s="221"/>
      <c r="J93" s="221"/>
      <c r="K93" s="221"/>
      <c r="L93" s="221"/>
      <c r="M93" s="221"/>
      <c r="N93" s="221"/>
      <c r="O93" s="221"/>
    </row>
    <row r="94" spans="1:15">
      <c r="A94" s="221"/>
      <c r="B94" s="221"/>
      <c r="C94" s="221"/>
      <c r="D94" s="221"/>
      <c r="E94" s="221"/>
      <c r="F94" s="221"/>
      <c r="G94" s="221"/>
      <c r="H94" s="221"/>
      <c r="I94" s="221"/>
      <c r="J94" s="221"/>
      <c r="K94" s="221"/>
      <c r="L94" s="221"/>
      <c r="M94" s="221"/>
      <c r="N94" s="221"/>
      <c r="O94" s="221"/>
    </row>
    <row r="95" spans="1:15">
      <c r="A95" s="221"/>
      <c r="B95" s="221"/>
      <c r="C95" s="221"/>
      <c r="D95" s="221"/>
      <c r="E95" s="221"/>
      <c r="F95" s="221"/>
      <c r="G95" s="221"/>
      <c r="H95" s="221"/>
      <c r="I95" s="221"/>
      <c r="J95" s="221"/>
      <c r="K95" s="221"/>
      <c r="L95" s="221"/>
      <c r="M95" s="221"/>
      <c r="N95" s="221"/>
      <c r="O95" s="221"/>
    </row>
    <row r="96" spans="1:15">
      <c r="A96" s="221"/>
      <c r="B96" s="221"/>
      <c r="C96" s="221"/>
      <c r="D96" s="221"/>
      <c r="E96" s="221"/>
      <c r="F96" s="221"/>
      <c r="G96" s="221"/>
      <c r="H96" s="221"/>
      <c r="I96" s="221"/>
      <c r="J96" s="221"/>
      <c r="K96" s="221"/>
      <c r="L96" s="221"/>
      <c r="M96" s="221"/>
      <c r="N96" s="221"/>
      <c r="O96" s="221"/>
    </row>
    <row r="97" spans="1:15">
      <c r="A97" s="221"/>
      <c r="B97" s="221"/>
      <c r="C97" s="221"/>
      <c r="D97" s="221"/>
      <c r="E97" s="221"/>
      <c r="F97" s="221"/>
      <c r="G97" s="221"/>
      <c r="H97" s="221"/>
      <c r="I97" s="221"/>
      <c r="J97" s="221"/>
      <c r="K97" s="221"/>
      <c r="L97" s="221"/>
      <c r="M97" s="221"/>
      <c r="N97" s="221"/>
      <c r="O97" s="221"/>
    </row>
    <row r="98" spans="1:15">
      <c r="A98" s="221"/>
      <c r="B98" s="221"/>
      <c r="C98" s="221"/>
      <c r="D98" s="221"/>
      <c r="E98" s="221"/>
      <c r="F98" s="221"/>
      <c r="G98" s="221"/>
      <c r="H98" s="221"/>
      <c r="I98" s="221"/>
      <c r="J98" s="221"/>
      <c r="K98" s="221"/>
      <c r="L98" s="221"/>
      <c r="M98" s="221"/>
      <c r="N98" s="221"/>
      <c r="O98" s="221"/>
    </row>
    <row r="99" spans="1:15">
      <c r="A99" s="221"/>
      <c r="B99" s="221"/>
      <c r="C99" s="221"/>
      <c r="D99" s="221"/>
      <c r="E99" s="221"/>
      <c r="F99" s="221"/>
      <c r="G99" s="221"/>
      <c r="H99" s="221"/>
      <c r="I99" s="221"/>
      <c r="J99" s="221"/>
      <c r="K99" s="221"/>
      <c r="L99" s="221"/>
      <c r="M99" s="221"/>
      <c r="N99" s="221"/>
      <c r="O99" s="221"/>
    </row>
    <row r="100" spans="1:15">
      <c r="A100" s="221"/>
      <c r="B100" s="221"/>
      <c r="C100" s="221"/>
      <c r="D100" s="221"/>
      <c r="E100" s="221"/>
      <c r="F100" s="221"/>
      <c r="G100" s="221"/>
      <c r="H100" s="221"/>
      <c r="I100" s="221"/>
      <c r="J100" s="221"/>
      <c r="K100" s="221"/>
      <c r="L100" s="221"/>
      <c r="M100" s="221"/>
      <c r="N100" s="221"/>
      <c r="O100" s="221"/>
    </row>
    <row r="101" spans="1:15">
      <c r="A101" s="221"/>
      <c r="B101" s="221"/>
      <c r="C101" s="221"/>
      <c r="D101" s="221"/>
      <c r="E101" s="221"/>
      <c r="F101" s="221"/>
      <c r="G101" s="221"/>
      <c r="H101" s="221"/>
      <c r="I101" s="221"/>
      <c r="J101" s="221"/>
      <c r="K101" s="221"/>
      <c r="L101" s="221"/>
      <c r="M101" s="221"/>
      <c r="N101" s="221"/>
      <c r="O101" s="221"/>
    </row>
    <row r="102" spans="1:15">
      <c r="A102" s="221"/>
      <c r="B102" s="221"/>
      <c r="C102" s="221"/>
      <c r="D102" s="221"/>
      <c r="E102" s="221"/>
      <c r="F102" s="221"/>
      <c r="G102" s="221"/>
      <c r="H102" s="221"/>
      <c r="I102" s="221"/>
      <c r="J102" s="221"/>
      <c r="K102" s="221"/>
      <c r="L102" s="221"/>
      <c r="M102" s="221"/>
      <c r="N102" s="221"/>
      <c r="O102" s="221"/>
    </row>
    <row r="103" spans="1:15">
      <c r="A103" s="221"/>
      <c r="B103" s="221"/>
      <c r="C103" s="221"/>
      <c r="D103" s="221"/>
      <c r="E103" s="221"/>
      <c r="F103" s="221"/>
      <c r="G103" s="221"/>
      <c r="H103" s="221"/>
      <c r="I103" s="221"/>
      <c r="J103" s="221"/>
      <c r="K103" s="221"/>
      <c r="L103" s="221"/>
      <c r="M103" s="221"/>
      <c r="N103" s="221"/>
      <c r="O103" s="221"/>
    </row>
    <row r="104" spans="1:15">
      <c r="A104" s="221"/>
      <c r="B104" s="221"/>
      <c r="C104" s="221"/>
      <c r="D104" s="221"/>
      <c r="E104" s="221"/>
      <c r="F104" s="221"/>
      <c r="G104" s="221"/>
      <c r="H104" s="221"/>
      <c r="I104" s="221"/>
      <c r="J104" s="221"/>
      <c r="K104" s="221"/>
      <c r="L104" s="221"/>
      <c r="M104" s="221"/>
      <c r="N104" s="221"/>
      <c r="O104" s="221"/>
    </row>
    <row r="105" spans="1:15">
      <c r="A105" s="221"/>
      <c r="B105" s="221"/>
      <c r="C105" s="221"/>
      <c r="D105" s="221"/>
      <c r="E105" s="221"/>
      <c r="F105" s="221"/>
      <c r="G105" s="221"/>
      <c r="H105" s="221"/>
      <c r="I105" s="221"/>
      <c r="J105" s="221"/>
      <c r="K105" s="221"/>
      <c r="L105" s="221"/>
      <c r="M105" s="221"/>
      <c r="N105" s="221"/>
      <c r="O105" s="221"/>
    </row>
    <row r="106" spans="1:15">
      <c r="A106" s="221"/>
      <c r="B106" s="221"/>
      <c r="C106" s="221"/>
      <c r="D106" s="221"/>
      <c r="E106" s="221"/>
      <c r="F106" s="221"/>
      <c r="G106" s="221"/>
      <c r="H106" s="221"/>
      <c r="I106" s="221"/>
      <c r="J106" s="221"/>
      <c r="K106" s="221"/>
      <c r="L106" s="221"/>
      <c r="M106" s="221"/>
      <c r="N106" s="221"/>
      <c r="O106" s="221"/>
    </row>
    <row r="107" spans="1:15">
      <c r="A107" s="221"/>
      <c r="B107" s="221"/>
      <c r="C107" s="221"/>
      <c r="D107" s="221"/>
      <c r="E107" s="221"/>
      <c r="F107" s="221"/>
      <c r="G107" s="221"/>
      <c r="H107" s="221"/>
      <c r="I107" s="221"/>
      <c r="J107" s="221"/>
      <c r="K107" s="221"/>
      <c r="L107" s="221"/>
      <c r="M107" s="221"/>
      <c r="N107" s="221"/>
      <c r="O107" s="221"/>
    </row>
    <row r="108" spans="1:15">
      <c r="A108" s="221"/>
      <c r="B108" s="221"/>
      <c r="C108" s="221"/>
      <c r="D108" s="221"/>
      <c r="E108" s="221"/>
      <c r="F108" s="221"/>
      <c r="G108" s="221"/>
      <c r="H108" s="221"/>
      <c r="I108" s="221"/>
      <c r="J108" s="221"/>
      <c r="K108" s="221"/>
      <c r="L108" s="221"/>
      <c r="M108" s="221"/>
      <c r="N108" s="221"/>
      <c r="O108" s="221"/>
    </row>
    <row r="109" spans="1:15">
      <c r="A109" s="221"/>
      <c r="B109" s="221"/>
      <c r="C109" s="221"/>
      <c r="D109" s="221"/>
      <c r="E109" s="221"/>
      <c r="F109" s="221"/>
      <c r="G109" s="221"/>
      <c r="H109" s="221"/>
      <c r="I109" s="221"/>
      <c r="J109" s="221"/>
      <c r="K109" s="221"/>
      <c r="L109" s="221"/>
      <c r="M109" s="221"/>
      <c r="N109" s="221"/>
      <c r="O109" s="221"/>
    </row>
    <row r="110" spans="1:15">
      <c r="A110" s="221"/>
      <c r="B110" s="221"/>
      <c r="C110" s="221"/>
      <c r="D110" s="221"/>
      <c r="E110" s="221"/>
      <c r="F110" s="221"/>
      <c r="G110" s="221"/>
      <c r="H110" s="221"/>
      <c r="I110" s="221"/>
      <c r="J110" s="221"/>
      <c r="K110" s="221"/>
      <c r="L110" s="221"/>
      <c r="M110" s="221"/>
      <c r="N110" s="221"/>
      <c r="O110" s="221"/>
    </row>
    <row r="111" spans="1:15">
      <c r="A111" s="221"/>
      <c r="B111" s="221"/>
      <c r="C111" s="221"/>
      <c r="D111" s="221"/>
      <c r="E111" s="221"/>
      <c r="F111" s="221"/>
      <c r="G111" s="221"/>
      <c r="H111" s="221"/>
      <c r="I111" s="221"/>
      <c r="J111" s="221"/>
      <c r="K111" s="221"/>
      <c r="L111" s="221"/>
      <c r="M111" s="221"/>
      <c r="N111" s="221"/>
      <c r="O111" s="221"/>
    </row>
    <row r="112" spans="1:15">
      <c r="A112" s="221"/>
      <c r="B112" s="221"/>
      <c r="C112" s="221"/>
      <c r="D112" s="221"/>
      <c r="E112" s="221"/>
      <c r="F112" s="221"/>
      <c r="G112" s="221"/>
      <c r="H112" s="221"/>
      <c r="I112" s="221"/>
      <c r="J112" s="221"/>
      <c r="K112" s="221"/>
      <c r="L112" s="221"/>
      <c r="M112" s="221"/>
      <c r="N112" s="221"/>
      <c r="O112" s="221"/>
    </row>
    <row r="113" spans="1:15">
      <c r="A113" s="221"/>
      <c r="B113" s="221"/>
      <c r="C113" s="221"/>
      <c r="D113" s="221"/>
      <c r="E113" s="221"/>
      <c r="F113" s="221"/>
      <c r="G113" s="221"/>
      <c r="H113" s="221"/>
      <c r="I113" s="221"/>
      <c r="J113" s="221"/>
      <c r="K113" s="221"/>
      <c r="L113" s="221"/>
      <c r="M113" s="221"/>
      <c r="N113" s="221"/>
      <c r="O113" s="221"/>
    </row>
    <row r="114" spans="1:15">
      <c r="A114" s="221"/>
      <c r="B114" s="221"/>
      <c r="C114" s="221"/>
      <c r="D114" s="221"/>
      <c r="E114" s="221"/>
      <c r="F114" s="221"/>
      <c r="G114" s="221"/>
      <c r="H114" s="221"/>
      <c r="I114" s="221"/>
      <c r="J114" s="221"/>
      <c r="K114" s="221"/>
      <c r="L114" s="221"/>
      <c r="M114" s="221"/>
      <c r="N114" s="221"/>
      <c r="O114" s="221"/>
    </row>
    <row r="115" spans="1:15">
      <c r="A115" s="221"/>
      <c r="B115" s="221"/>
      <c r="C115" s="221"/>
      <c r="D115" s="221"/>
      <c r="E115" s="221"/>
      <c r="F115" s="221"/>
      <c r="G115" s="221"/>
      <c r="H115" s="221"/>
      <c r="I115" s="221"/>
      <c r="J115" s="221"/>
      <c r="K115" s="221"/>
      <c r="L115" s="221"/>
      <c r="M115" s="221"/>
      <c r="N115" s="221"/>
      <c r="O115" s="221"/>
    </row>
    <row r="116" spans="1:15">
      <c r="A116" s="221"/>
      <c r="B116" s="221"/>
      <c r="C116" s="221"/>
      <c r="D116" s="221"/>
      <c r="E116" s="221"/>
      <c r="F116" s="221"/>
      <c r="G116" s="221"/>
      <c r="H116" s="221"/>
      <c r="I116" s="221"/>
      <c r="J116" s="221"/>
      <c r="K116" s="221"/>
      <c r="L116" s="221"/>
      <c r="M116" s="221"/>
      <c r="N116" s="221"/>
      <c r="O116" s="221"/>
    </row>
    <row r="117" spans="1:15">
      <c r="A117" s="221"/>
      <c r="B117" s="221"/>
      <c r="C117" s="221"/>
      <c r="D117" s="221"/>
      <c r="E117" s="221"/>
      <c r="F117" s="221"/>
      <c r="G117" s="221"/>
      <c r="H117" s="221"/>
      <c r="I117" s="221"/>
      <c r="J117" s="221"/>
      <c r="K117" s="221"/>
      <c r="L117" s="221"/>
      <c r="M117" s="221"/>
      <c r="N117" s="221"/>
      <c r="O117" s="221"/>
    </row>
    <row r="118" spans="1:15">
      <c r="A118" s="221"/>
      <c r="B118" s="221"/>
      <c r="C118" s="221"/>
      <c r="D118" s="221"/>
      <c r="E118" s="221"/>
      <c r="F118" s="221"/>
      <c r="G118" s="221"/>
      <c r="H118" s="221"/>
      <c r="I118" s="221"/>
      <c r="J118" s="221"/>
      <c r="K118" s="221"/>
      <c r="L118" s="221"/>
      <c r="M118" s="221"/>
      <c r="N118" s="221"/>
      <c r="O118" s="221"/>
    </row>
    <row r="119" spans="1:15">
      <c r="A119" s="221"/>
      <c r="B119" s="221"/>
      <c r="C119" s="221"/>
      <c r="D119" s="221"/>
      <c r="E119" s="221"/>
      <c r="F119" s="221"/>
      <c r="G119" s="221"/>
      <c r="H119" s="221"/>
      <c r="I119" s="221"/>
      <c r="J119" s="221"/>
      <c r="K119" s="221"/>
      <c r="L119" s="221"/>
      <c r="M119" s="221"/>
      <c r="N119" s="221"/>
      <c r="O119" s="221"/>
    </row>
    <row r="120" spans="1:15">
      <c r="A120" s="221"/>
      <c r="B120" s="221"/>
      <c r="C120" s="221"/>
      <c r="D120" s="221"/>
      <c r="E120" s="221"/>
      <c r="F120" s="221"/>
      <c r="G120" s="221"/>
      <c r="H120" s="221"/>
      <c r="I120" s="221"/>
      <c r="J120" s="221"/>
      <c r="K120" s="221"/>
      <c r="L120" s="221"/>
      <c r="M120" s="221"/>
      <c r="N120" s="221"/>
      <c r="O120" s="221"/>
    </row>
    <row r="121" spans="1:15">
      <c r="A121" s="221"/>
      <c r="B121" s="221"/>
      <c r="C121" s="221"/>
      <c r="D121" s="221"/>
      <c r="E121" s="221"/>
      <c r="F121" s="221"/>
      <c r="G121" s="221"/>
      <c r="H121" s="221"/>
      <c r="I121" s="221"/>
      <c r="J121" s="221"/>
      <c r="K121" s="221"/>
      <c r="L121" s="221"/>
      <c r="M121" s="221"/>
      <c r="N121" s="221"/>
      <c r="O121" s="221"/>
    </row>
    <row r="122" spans="1:15">
      <c r="A122" s="221"/>
      <c r="B122" s="221"/>
      <c r="C122" s="221"/>
      <c r="D122" s="221"/>
      <c r="E122" s="221"/>
      <c r="F122" s="221"/>
      <c r="G122" s="221"/>
      <c r="H122" s="221"/>
      <c r="I122" s="221"/>
      <c r="J122" s="221"/>
      <c r="K122" s="221"/>
      <c r="L122" s="221"/>
      <c r="M122" s="221"/>
      <c r="N122" s="221"/>
      <c r="O122" s="221"/>
    </row>
    <row r="123" spans="1:15">
      <c r="A123" s="221"/>
      <c r="B123" s="221"/>
      <c r="C123" s="221"/>
      <c r="D123" s="221"/>
      <c r="E123" s="221"/>
      <c r="F123" s="221"/>
      <c r="G123" s="221"/>
      <c r="H123" s="221"/>
      <c r="I123" s="221"/>
      <c r="J123" s="221"/>
      <c r="K123" s="221"/>
      <c r="L123" s="221"/>
      <c r="M123" s="221"/>
      <c r="N123" s="221"/>
      <c r="O123" s="221"/>
    </row>
    <row r="124" spans="1:15">
      <c r="A124" s="221"/>
      <c r="B124" s="221"/>
      <c r="C124" s="221"/>
      <c r="D124" s="221"/>
      <c r="E124" s="221"/>
      <c r="F124" s="221"/>
      <c r="G124" s="221"/>
      <c r="H124" s="221"/>
      <c r="I124" s="221"/>
      <c r="J124" s="221"/>
      <c r="K124" s="221"/>
      <c r="L124" s="221"/>
      <c r="M124" s="221"/>
      <c r="N124" s="221"/>
      <c r="O124" s="221"/>
    </row>
    <row r="125" spans="1:15">
      <c r="A125" s="221"/>
      <c r="B125" s="221"/>
      <c r="C125" s="221"/>
      <c r="D125" s="221"/>
      <c r="E125" s="221"/>
      <c r="F125" s="221"/>
      <c r="G125" s="221"/>
      <c r="H125" s="221"/>
      <c r="I125" s="221"/>
      <c r="J125" s="221"/>
      <c r="K125" s="221"/>
      <c r="L125" s="221"/>
      <c r="M125" s="221"/>
      <c r="N125" s="221"/>
      <c r="O125" s="221"/>
    </row>
    <row r="126" spans="1:15">
      <c r="A126" s="221"/>
      <c r="B126" s="221"/>
      <c r="C126" s="221"/>
      <c r="D126" s="221"/>
      <c r="E126" s="221"/>
      <c r="F126" s="221"/>
      <c r="G126" s="221"/>
      <c r="H126" s="221"/>
      <c r="I126" s="221"/>
      <c r="J126" s="221"/>
      <c r="K126" s="221"/>
      <c r="L126" s="221"/>
      <c r="M126" s="221"/>
      <c r="N126" s="221"/>
      <c r="O126" s="221"/>
    </row>
    <row r="127" spans="1:15">
      <c r="A127" s="221"/>
      <c r="B127" s="221"/>
      <c r="C127" s="221"/>
      <c r="D127" s="221"/>
      <c r="E127" s="221"/>
      <c r="F127" s="221"/>
      <c r="G127" s="221"/>
      <c r="H127" s="221"/>
      <c r="I127" s="221"/>
      <c r="J127" s="221"/>
      <c r="K127" s="221"/>
      <c r="L127" s="221"/>
      <c r="M127" s="221"/>
      <c r="N127" s="221"/>
      <c r="O127" s="221"/>
    </row>
  </sheetData>
  <mergeCells count="9">
    <mergeCell ref="A1:Q1"/>
    <mergeCell ref="A2:Q2"/>
    <mergeCell ref="A3:Q3"/>
    <mergeCell ref="K8:L8"/>
    <mergeCell ref="M8:N8"/>
    <mergeCell ref="C8:D8"/>
    <mergeCell ref="E8:F8"/>
    <mergeCell ref="G8:H8"/>
    <mergeCell ref="I8:J8"/>
  </mergeCells>
  <phoneticPr fontId="19" type="noConversion"/>
  <pageMargins left="0.59055118110236227" right="0" top="1.1811023622047245" bottom="0.98425196850393704" header="0.51181102362204722" footer="0.51181102362204722"/>
  <pageSetup paperSize="5" scale="85" orientation="landscape" horizontalDpi="300" verticalDpi="300" r:id="rId1"/>
  <headerFooter alignWithMargins="0"/>
  <legacyDrawingHF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47"/>
  <sheetViews>
    <sheetView topLeftCell="C16" zoomScale="75" workbookViewId="0">
      <selection activeCell="C37" sqref="C37"/>
    </sheetView>
  </sheetViews>
  <sheetFormatPr baseColWidth="10" defaultRowHeight="12.75"/>
  <cols>
    <col min="1" max="1" width="48.85546875" customWidth="1"/>
    <col min="2" max="20" width="9.140625" customWidth="1"/>
    <col min="21" max="21" width="9.7109375" customWidth="1"/>
  </cols>
  <sheetData>
    <row r="1" spans="1:21">
      <c r="A1" s="1275" t="s">
        <v>1301</v>
      </c>
      <c r="B1" s="1275"/>
      <c r="C1" s="1275"/>
      <c r="D1" s="1275"/>
      <c r="E1" s="1275"/>
      <c r="F1" s="1275"/>
      <c r="G1" s="1275"/>
      <c r="H1" s="1275"/>
      <c r="I1" s="1275"/>
      <c r="J1" s="1275"/>
      <c r="K1" s="1275"/>
      <c r="L1" s="1275"/>
      <c r="M1" s="1275"/>
      <c r="N1" s="1275"/>
      <c r="O1" s="1275"/>
      <c r="P1" s="1275"/>
      <c r="Q1" s="1275"/>
      <c r="R1" s="1275"/>
      <c r="S1" s="1275"/>
      <c r="T1" s="1275"/>
      <c r="U1" s="1275"/>
    </row>
    <row r="2" spans="1:21">
      <c r="A2" s="1275" t="str">
        <f>+'73'!A2:Q2</f>
        <v>SERVICIO SALUD  ACONCAGUA   2014</v>
      </c>
      <c r="B2" s="1275"/>
      <c r="C2" s="1275"/>
      <c r="D2" s="1275"/>
      <c r="E2" s="1275"/>
      <c r="F2" s="1275"/>
      <c r="G2" s="1275"/>
      <c r="H2" s="1275"/>
      <c r="I2" s="1275"/>
      <c r="J2" s="1275"/>
      <c r="K2" s="1275"/>
      <c r="L2" s="1275"/>
      <c r="M2" s="1275"/>
      <c r="N2" s="1275"/>
      <c r="O2" s="1275"/>
      <c r="P2" s="1275"/>
      <c r="Q2" s="1275"/>
      <c r="R2" s="1275"/>
      <c r="S2" s="1275"/>
      <c r="T2" s="1275"/>
      <c r="U2" s="1275"/>
    </row>
    <row r="3" spans="1:21">
      <c r="A3" s="1276"/>
      <c r="B3" s="1276"/>
      <c r="C3" s="1276"/>
      <c r="D3" s="1276"/>
      <c r="E3" s="1276"/>
      <c r="F3" s="1276"/>
      <c r="G3" s="1276"/>
      <c r="H3" s="1276"/>
      <c r="I3" s="1276"/>
      <c r="J3" s="1276"/>
      <c r="K3" s="1276"/>
      <c r="L3" s="1276"/>
      <c r="M3" s="1276"/>
      <c r="N3" s="1276"/>
      <c r="O3" s="1276"/>
      <c r="P3" s="1276"/>
      <c r="Q3" s="1276"/>
      <c r="R3" s="1276"/>
      <c r="S3" s="1276"/>
      <c r="T3" s="1276"/>
      <c r="U3" s="1276"/>
    </row>
    <row r="4" spans="1:21">
      <c r="A4" s="649"/>
      <c r="B4" s="649"/>
      <c r="C4" s="649"/>
      <c r="D4" s="649"/>
      <c r="E4" s="649"/>
      <c r="F4" s="649"/>
      <c r="G4" s="649"/>
      <c r="H4" s="649"/>
      <c r="I4" s="649"/>
      <c r="J4" s="649"/>
      <c r="K4" s="649"/>
      <c r="L4" s="649"/>
      <c r="M4" s="649"/>
      <c r="N4" s="649"/>
      <c r="O4" s="649"/>
      <c r="P4" s="649"/>
      <c r="Q4" s="649"/>
      <c r="R4" s="649"/>
      <c r="S4" s="649"/>
      <c r="T4" s="649"/>
      <c r="U4" s="649"/>
    </row>
    <row r="6" spans="1:21" ht="18.75" customHeight="1">
      <c r="A6" s="250" t="s">
        <v>1302</v>
      </c>
      <c r="B6" s="1283" t="s">
        <v>1303</v>
      </c>
      <c r="C6" s="1284"/>
      <c r="D6" s="1284"/>
      <c r="E6" s="1284"/>
      <c r="F6" s="1284"/>
      <c r="G6" s="1284"/>
      <c r="H6" s="1284"/>
      <c r="I6" s="1284"/>
      <c r="J6" s="1284"/>
      <c r="K6" s="1284"/>
      <c r="L6" s="1284"/>
      <c r="M6" s="1284"/>
      <c r="N6" s="1284"/>
      <c r="O6" s="1284"/>
      <c r="P6" s="1284"/>
      <c r="Q6" s="1284"/>
      <c r="R6" s="1284"/>
      <c r="S6" s="1285"/>
      <c r="T6" s="297" t="s">
        <v>1304</v>
      </c>
      <c r="U6" s="315"/>
    </row>
    <row r="7" spans="1:21" ht="26.25" customHeight="1">
      <c r="A7" s="333"/>
      <c r="B7" s="666" t="s">
        <v>1305</v>
      </c>
      <c r="C7" s="666" t="s">
        <v>1392</v>
      </c>
      <c r="D7" s="666" t="s">
        <v>1306</v>
      </c>
      <c r="E7" s="667" t="s">
        <v>1307</v>
      </c>
      <c r="F7" s="666" t="s">
        <v>1354</v>
      </c>
      <c r="G7" s="668" t="s">
        <v>1308</v>
      </c>
      <c r="H7" s="669" t="s">
        <v>483</v>
      </c>
      <c r="I7" s="670" t="s">
        <v>466</v>
      </c>
      <c r="J7" s="670" t="s">
        <v>1309</v>
      </c>
      <c r="K7" s="666" t="s">
        <v>1322</v>
      </c>
      <c r="L7" s="667" t="s">
        <v>465</v>
      </c>
      <c r="M7" s="671" t="s">
        <v>445</v>
      </c>
      <c r="N7" s="666" t="s">
        <v>463</v>
      </c>
      <c r="O7" s="666" t="s">
        <v>315</v>
      </c>
      <c r="P7" s="666" t="s">
        <v>468</v>
      </c>
      <c r="Q7" s="666" t="s">
        <v>722</v>
      </c>
      <c r="R7" s="669" t="s">
        <v>470</v>
      </c>
      <c r="S7" s="666" t="s">
        <v>1393</v>
      </c>
      <c r="T7" s="671" t="s">
        <v>1310</v>
      </c>
      <c r="U7" s="672" t="s">
        <v>571</v>
      </c>
    </row>
    <row r="8" spans="1:21" ht="26.25" customHeight="1">
      <c r="A8" s="1092" t="s">
        <v>1321</v>
      </c>
      <c r="B8" s="491">
        <v>660</v>
      </c>
      <c r="C8" s="491">
        <v>92</v>
      </c>
      <c r="D8" s="1128">
        <v>1035</v>
      </c>
      <c r="E8" s="491">
        <v>505</v>
      </c>
      <c r="F8" s="491">
        <v>13</v>
      </c>
      <c r="G8" s="1128">
        <v>399</v>
      </c>
      <c r="H8" s="491">
        <v>408</v>
      </c>
      <c r="I8" s="491">
        <v>1135</v>
      </c>
      <c r="J8" s="491">
        <v>1392</v>
      </c>
      <c r="K8" s="491">
        <v>67</v>
      </c>
      <c r="L8" s="491">
        <v>388</v>
      </c>
      <c r="M8" s="491">
        <v>776</v>
      </c>
      <c r="N8" s="491">
        <v>467</v>
      </c>
      <c r="O8" s="491">
        <v>90</v>
      </c>
      <c r="P8" s="491">
        <v>108</v>
      </c>
      <c r="Q8" s="491">
        <v>676</v>
      </c>
      <c r="R8" s="491">
        <v>446</v>
      </c>
      <c r="S8" s="491">
        <v>28</v>
      </c>
      <c r="T8" s="491">
        <v>2877</v>
      </c>
      <c r="U8" s="1093">
        <f>SUM(B8:T8)</f>
        <v>11562</v>
      </c>
    </row>
    <row r="9" spans="1:21" s="6" customFormat="1" ht="18.75" customHeight="1">
      <c r="A9" s="499" t="s">
        <v>312</v>
      </c>
      <c r="B9" s="673">
        <v>32</v>
      </c>
      <c r="C9" s="673">
        <v>4</v>
      </c>
      <c r="D9" s="674">
        <v>93</v>
      </c>
      <c r="E9" s="673">
        <v>49</v>
      </c>
      <c r="F9" s="673">
        <v>1</v>
      </c>
      <c r="G9" s="674">
        <v>9</v>
      </c>
      <c r="H9" s="675">
        <v>11</v>
      </c>
      <c r="I9" s="674">
        <v>53</v>
      </c>
      <c r="J9" s="673">
        <v>59</v>
      </c>
      <c r="K9" s="673">
        <v>0</v>
      </c>
      <c r="L9" s="673">
        <v>28</v>
      </c>
      <c r="M9" s="265">
        <v>30</v>
      </c>
      <c r="N9" s="673">
        <v>19</v>
      </c>
      <c r="O9" s="674">
        <v>1</v>
      </c>
      <c r="P9" s="673">
        <v>0</v>
      </c>
      <c r="Q9" s="673">
        <v>36</v>
      </c>
      <c r="R9" s="675">
        <v>71</v>
      </c>
      <c r="S9" s="675">
        <v>3</v>
      </c>
      <c r="T9" s="676">
        <v>2</v>
      </c>
      <c r="U9" s="677">
        <f t="shared" ref="U9:U17" si="0">SUM(B9:T9)</f>
        <v>501</v>
      </c>
    </row>
    <row r="10" spans="1:21" s="6" customFormat="1" ht="18.75" customHeight="1">
      <c r="A10" s="499" t="s">
        <v>313</v>
      </c>
      <c r="B10" s="673">
        <v>13</v>
      </c>
      <c r="C10" s="673">
        <v>0</v>
      </c>
      <c r="D10" s="674">
        <v>32</v>
      </c>
      <c r="E10" s="673">
        <v>0</v>
      </c>
      <c r="F10" s="673">
        <v>0</v>
      </c>
      <c r="G10" s="674">
        <v>4</v>
      </c>
      <c r="H10" s="675">
        <v>4</v>
      </c>
      <c r="I10" s="674">
        <v>22</v>
      </c>
      <c r="J10" s="673">
        <v>20</v>
      </c>
      <c r="K10" s="673">
        <v>0</v>
      </c>
      <c r="L10" s="673">
        <v>9</v>
      </c>
      <c r="M10" s="265">
        <v>5</v>
      </c>
      <c r="N10" s="673">
        <v>0</v>
      </c>
      <c r="O10" s="674">
        <v>0</v>
      </c>
      <c r="P10" s="673">
        <v>0</v>
      </c>
      <c r="Q10" s="673">
        <v>11</v>
      </c>
      <c r="R10" s="675">
        <v>14</v>
      </c>
      <c r="S10" s="675">
        <v>1</v>
      </c>
      <c r="T10" s="676">
        <v>2</v>
      </c>
      <c r="U10" s="677">
        <f t="shared" si="0"/>
        <v>137</v>
      </c>
    </row>
    <row r="11" spans="1:21" s="6" customFormat="1" ht="18.75" customHeight="1">
      <c r="A11" s="499" t="s">
        <v>1311</v>
      </c>
      <c r="B11" s="673">
        <v>1</v>
      </c>
      <c r="C11" s="673">
        <v>0</v>
      </c>
      <c r="D11" s="674">
        <v>3</v>
      </c>
      <c r="E11" s="673">
        <v>0</v>
      </c>
      <c r="F11" s="673">
        <v>0</v>
      </c>
      <c r="G11" s="674">
        <v>0</v>
      </c>
      <c r="H11" s="675">
        <v>0</v>
      </c>
      <c r="I11" s="674">
        <v>2</v>
      </c>
      <c r="J11" s="673">
        <v>3</v>
      </c>
      <c r="K11" s="673">
        <v>0</v>
      </c>
      <c r="L11" s="673">
        <v>0</v>
      </c>
      <c r="M11" s="265">
        <v>0</v>
      </c>
      <c r="N11" s="673">
        <v>0</v>
      </c>
      <c r="O11" s="674">
        <v>0</v>
      </c>
      <c r="P11" s="673">
        <v>0</v>
      </c>
      <c r="Q11" s="673">
        <v>0</v>
      </c>
      <c r="R11" s="675">
        <v>0</v>
      </c>
      <c r="S11" s="675">
        <v>0</v>
      </c>
      <c r="T11" s="676">
        <v>0</v>
      </c>
      <c r="U11" s="677">
        <f t="shared" si="0"/>
        <v>9</v>
      </c>
    </row>
    <row r="12" spans="1:21" s="6" customFormat="1" ht="18.75" customHeight="1">
      <c r="A12" s="499" t="s">
        <v>1312</v>
      </c>
      <c r="B12" s="673">
        <v>11</v>
      </c>
      <c r="C12" s="673">
        <v>0</v>
      </c>
      <c r="D12" s="674">
        <v>37</v>
      </c>
      <c r="E12" s="673">
        <v>9</v>
      </c>
      <c r="F12" s="673">
        <v>0</v>
      </c>
      <c r="G12" s="674">
        <v>1</v>
      </c>
      <c r="H12" s="675">
        <v>12</v>
      </c>
      <c r="I12" s="674">
        <v>16</v>
      </c>
      <c r="J12" s="673">
        <v>21</v>
      </c>
      <c r="K12" s="673">
        <v>0</v>
      </c>
      <c r="L12" s="673">
        <v>2</v>
      </c>
      <c r="M12" s="265">
        <v>4</v>
      </c>
      <c r="N12" s="673">
        <v>0</v>
      </c>
      <c r="O12" s="674">
        <v>0</v>
      </c>
      <c r="P12" s="673">
        <v>0</v>
      </c>
      <c r="Q12" s="673">
        <v>3</v>
      </c>
      <c r="R12" s="675">
        <v>16</v>
      </c>
      <c r="S12" s="675">
        <v>1</v>
      </c>
      <c r="T12" s="676">
        <v>0</v>
      </c>
      <c r="U12" s="677">
        <f t="shared" si="0"/>
        <v>133</v>
      </c>
    </row>
    <row r="13" spans="1:21" s="6" customFormat="1" ht="18.75" customHeight="1">
      <c r="A13" s="499" t="s">
        <v>1313</v>
      </c>
      <c r="B13" s="673">
        <v>3</v>
      </c>
      <c r="C13" s="673">
        <v>0</v>
      </c>
      <c r="D13" s="674">
        <v>11</v>
      </c>
      <c r="E13" s="673">
        <v>2</v>
      </c>
      <c r="F13" s="673">
        <v>0</v>
      </c>
      <c r="G13" s="674">
        <v>1</v>
      </c>
      <c r="H13" s="675">
        <v>1</v>
      </c>
      <c r="I13" s="674">
        <v>0</v>
      </c>
      <c r="J13" s="673">
        <v>40</v>
      </c>
      <c r="K13" s="673">
        <v>1</v>
      </c>
      <c r="L13" s="673">
        <v>3</v>
      </c>
      <c r="M13" s="265">
        <v>2</v>
      </c>
      <c r="N13" s="673">
        <v>0</v>
      </c>
      <c r="O13" s="674">
        <v>0</v>
      </c>
      <c r="P13" s="673">
        <v>0</v>
      </c>
      <c r="Q13" s="673">
        <v>6</v>
      </c>
      <c r="R13" s="675">
        <v>5</v>
      </c>
      <c r="S13" s="675">
        <v>0</v>
      </c>
      <c r="T13" s="676">
        <v>0</v>
      </c>
      <c r="U13" s="677">
        <f t="shared" si="0"/>
        <v>75</v>
      </c>
    </row>
    <row r="14" spans="1:21" s="6" customFormat="1" ht="18.75" customHeight="1">
      <c r="A14" s="254" t="s">
        <v>1345</v>
      </c>
      <c r="B14" s="673">
        <v>2</v>
      </c>
      <c r="C14" s="673">
        <v>0</v>
      </c>
      <c r="D14" s="674">
        <v>0</v>
      </c>
      <c r="E14" s="673">
        <v>0</v>
      </c>
      <c r="F14" s="673">
        <v>0</v>
      </c>
      <c r="G14" s="674">
        <v>0</v>
      </c>
      <c r="H14" s="675">
        <v>1</v>
      </c>
      <c r="I14" s="674">
        <v>4</v>
      </c>
      <c r="J14" s="673">
        <v>334</v>
      </c>
      <c r="K14" s="673">
        <v>5</v>
      </c>
      <c r="L14" s="673">
        <v>95</v>
      </c>
      <c r="M14" s="265">
        <v>5</v>
      </c>
      <c r="N14" s="673">
        <v>1</v>
      </c>
      <c r="O14" s="674">
        <v>0</v>
      </c>
      <c r="P14" s="673">
        <v>0</v>
      </c>
      <c r="Q14" s="673">
        <v>1</v>
      </c>
      <c r="R14" s="675">
        <v>0</v>
      </c>
      <c r="S14" s="675">
        <v>0</v>
      </c>
      <c r="T14" s="676">
        <v>0</v>
      </c>
      <c r="U14" s="677">
        <f t="shared" si="0"/>
        <v>448</v>
      </c>
    </row>
    <row r="15" spans="1:21" s="6" customFormat="1" ht="18.75" customHeight="1">
      <c r="A15" s="254" t="s">
        <v>1346</v>
      </c>
      <c r="B15" s="673">
        <v>2</v>
      </c>
      <c r="C15" s="673">
        <v>0</v>
      </c>
      <c r="D15" s="674">
        <v>3</v>
      </c>
      <c r="E15" s="673">
        <v>0</v>
      </c>
      <c r="F15" s="673">
        <v>0</v>
      </c>
      <c r="G15" s="674">
        <v>0</v>
      </c>
      <c r="H15" s="675">
        <v>1</v>
      </c>
      <c r="I15" s="674">
        <v>2</v>
      </c>
      <c r="J15" s="673">
        <v>5</v>
      </c>
      <c r="K15" s="673">
        <v>0</v>
      </c>
      <c r="L15" s="673">
        <v>4</v>
      </c>
      <c r="M15" s="265">
        <v>1</v>
      </c>
      <c r="N15" s="673">
        <v>0</v>
      </c>
      <c r="O15" s="674">
        <v>0</v>
      </c>
      <c r="P15" s="673">
        <v>0</v>
      </c>
      <c r="Q15" s="673">
        <v>1</v>
      </c>
      <c r="R15" s="675">
        <v>0</v>
      </c>
      <c r="S15" s="675">
        <v>0</v>
      </c>
      <c r="T15" s="676">
        <v>0</v>
      </c>
      <c r="U15" s="677">
        <f t="shared" si="0"/>
        <v>19</v>
      </c>
    </row>
    <row r="16" spans="1:21" s="6" customFormat="1" ht="18.75" customHeight="1">
      <c r="A16" s="1094" t="s">
        <v>311</v>
      </c>
      <c r="B16" s="673">
        <v>22</v>
      </c>
      <c r="C16" s="673">
        <v>3</v>
      </c>
      <c r="D16" s="674">
        <v>11</v>
      </c>
      <c r="E16" s="673">
        <v>0</v>
      </c>
      <c r="F16" s="673">
        <v>0</v>
      </c>
      <c r="G16" s="674">
        <v>0</v>
      </c>
      <c r="H16" s="675">
        <v>3</v>
      </c>
      <c r="I16" s="674">
        <v>10</v>
      </c>
      <c r="J16" s="673">
        <v>18</v>
      </c>
      <c r="K16" s="673">
        <v>1</v>
      </c>
      <c r="L16" s="673">
        <v>11</v>
      </c>
      <c r="M16" s="265">
        <v>8</v>
      </c>
      <c r="N16" s="673">
        <v>7</v>
      </c>
      <c r="O16" s="674">
        <v>3</v>
      </c>
      <c r="P16" s="673">
        <v>0</v>
      </c>
      <c r="Q16" s="673">
        <v>10</v>
      </c>
      <c r="R16" s="675">
        <v>0</v>
      </c>
      <c r="S16" s="675">
        <v>0</v>
      </c>
      <c r="T16" s="676">
        <v>0</v>
      </c>
      <c r="U16" s="677">
        <f t="shared" si="0"/>
        <v>107</v>
      </c>
    </row>
    <row r="17" spans="1:21" s="6" customFormat="1" ht="18.75" customHeight="1">
      <c r="A17" s="678" t="s">
        <v>1316</v>
      </c>
      <c r="B17" s="679">
        <v>8</v>
      </c>
      <c r="C17" s="679">
        <v>1</v>
      </c>
      <c r="D17" s="674">
        <v>14</v>
      </c>
      <c r="E17" s="673">
        <v>0</v>
      </c>
      <c r="F17" s="673">
        <v>0</v>
      </c>
      <c r="G17" s="674">
        <v>1</v>
      </c>
      <c r="H17" s="675">
        <v>10</v>
      </c>
      <c r="I17" s="674">
        <v>5</v>
      </c>
      <c r="J17" s="673">
        <v>21</v>
      </c>
      <c r="K17" s="673">
        <v>1</v>
      </c>
      <c r="L17" s="673">
        <v>17</v>
      </c>
      <c r="M17" s="265">
        <v>15</v>
      </c>
      <c r="N17" s="673">
        <v>2</v>
      </c>
      <c r="O17" s="674">
        <v>0</v>
      </c>
      <c r="P17" s="673">
        <v>0</v>
      </c>
      <c r="Q17" s="673">
        <v>10</v>
      </c>
      <c r="R17" s="675">
        <v>0</v>
      </c>
      <c r="S17" s="675">
        <v>0</v>
      </c>
      <c r="T17" s="676">
        <v>1</v>
      </c>
      <c r="U17" s="677">
        <f t="shared" si="0"/>
        <v>106</v>
      </c>
    </row>
    <row r="18" spans="1:21" s="6" customFormat="1" ht="18.75" customHeight="1">
      <c r="A18" s="499" t="s">
        <v>1317</v>
      </c>
      <c r="B18" s="46">
        <v>103</v>
      </c>
      <c r="C18" s="46">
        <v>20</v>
      </c>
      <c r="D18" s="47">
        <v>213</v>
      </c>
      <c r="E18" s="46">
        <v>68</v>
      </c>
      <c r="F18" s="46">
        <v>4</v>
      </c>
      <c r="G18" s="47">
        <v>13</v>
      </c>
      <c r="H18" s="46">
        <v>28</v>
      </c>
      <c r="I18" s="47">
        <v>110</v>
      </c>
      <c r="J18" s="46">
        <v>82</v>
      </c>
      <c r="K18" s="46">
        <v>6</v>
      </c>
      <c r="L18" s="46">
        <v>117</v>
      </c>
      <c r="M18" s="47">
        <v>35</v>
      </c>
      <c r="N18" s="46">
        <v>38</v>
      </c>
      <c r="O18" s="47">
        <v>5</v>
      </c>
      <c r="P18" s="46">
        <v>2</v>
      </c>
      <c r="Q18" s="46">
        <v>60</v>
      </c>
      <c r="R18" s="46">
        <v>105</v>
      </c>
      <c r="S18" s="46">
        <v>3</v>
      </c>
      <c r="T18" s="324">
        <v>73</v>
      </c>
      <c r="U18" s="677">
        <f t="shared" ref="U18:U37" si="1">SUM(B18:T18)</f>
        <v>1085</v>
      </c>
    </row>
    <row r="19" spans="1:21" s="6" customFormat="1" ht="18.75" customHeight="1">
      <c r="A19" s="499" t="s">
        <v>1318</v>
      </c>
      <c r="B19" s="46">
        <v>156</v>
      </c>
      <c r="C19" s="46">
        <v>18</v>
      </c>
      <c r="D19" s="47">
        <v>160</v>
      </c>
      <c r="E19" s="46">
        <v>22</v>
      </c>
      <c r="F19" s="46">
        <v>0</v>
      </c>
      <c r="G19" s="47">
        <v>36</v>
      </c>
      <c r="H19" s="46">
        <v>100</v>
      </c>
      <c r="I19" s="47">
        <v>340</v>
      </c>
      <c r="J19" s="46">
        <v>303</v>
      </c>
      <c r="K19" s="46">
        <v>13</v>
      </c>
      <c r="L19" s="46">
        <v>43</v>
      </c>
      <c r="M19" s="47">
        <v>167</v>
      </c>
      <c r="N19" s="46">
        <v>101</v>
      </c>
      <c r="O19" s="47">
        <v>13</v>
      </c>
      <c r="P19" s="46">
        <v>12</v>
      </c>
      <c r="Q19" s="46">
        <v>268</v>
      </c>
      <c r="R19" s="46">
        <v>230</v>
      </c>
      <c r="S19" s="46">
        <v>4</v>
      </c>
      <c r="T19" s="324">
        <v>211</v>
      </c>
      <c r="U19" s="677">
        <f t="shared" si="1"/>
        <v>2197</v>
      </c>
    </row>
    <row r="20" spans="1:21" s="6" customFormat="1" ht="18.75" customHeight="1">
      <c r="A20" s="499" t="s">
        <v>1319</v>
      </c>
      <c r="B20" s="46">
        <v>10</v>
      </c>
      <c r="C20" s="46">
        <v>2</v>
      </c>
      <c r="D20" s="47">
        <v>24</v>
      </c>
      <c r="E20" s="46">
        <v>0</v>
      </c>
      <c r="F20" s="46">
        <v>0</v>
      </c>
      <c r="G20" s="47">
        <v>6</v>
      </c>
      <c r="H20" s="46">
        <v>7</v>
      </c>
      <c r="I20" s="47">
        <v>46</v>
      </c>
      <c r="J20" s="46">
        <v>19</v>
      </c>
      <c r="K20" s="46">
        <v>5</v>
      </c>
      <c r="L20" s="46">
        <v>2</v>
      </c>
      <c r="M20" s="47">
        <v>4</v>
      </c>
      <c r="N20" s="46">
        <v>9</v>
      </c>
      <c r="O20" s="47">
        <v>1</v>
      </c>
      <c r="P20" s="46">
        <v>0</v>
      </c>
      <c r="Q20" s="46">
        <v>26</v>
      </c>
      <c r="R20" s="46">
        <v>8</v>
      </c>
      <c r="S20" s="46">
        <v>1</v>
      </c>
      <c r="T20" s="324">
        <v>390</v>
      </c>
      <c r="U20" s="677">
        <f t="shared" si="1"/>
        <v>560</v>
      </c>
    </row>
    <row r="21" spans="1:21" s="6" customFormat="1" ht="18.75" customHeight="1">
      <c r="A21" s="499" t="s">
        <v>1314</v>
      </c>
      <c r="B21" s="46">
        <v>13</v>
      </c>
      <c r="C21" s="46">
        <v>0</v>
      </c>
      <c r="D21" s="47">
        <v>13</v>
      </c>
      <c r="E21" s="46">
        <v>0</v>
      </c>
      <c r="F21" s="46">
        <v>0</v>
      </c>
      <c r="G21" s="47">
        <v>0</v>
      </c>
      <c r="H21" s="46">
        <v>3</v>
      </c>
      <c r="I21" s="47">
        <v>19</v>
      </c>
      <c r="J21" s="46">
        <v>17</v>
      </c>
      <c r="K21" s="46">
        <v>0</v>
      </c>
      <c r="L21" s="46">
        <v>0</v>
      </c>
      <c r="M21" s="47">
        <v>1</v>
      </c>
      <c r="N21" s="46">
        <v>0</v>
      </c>
      <c r="O21" s="47">
        <v>0</v>
      </c>
      <c r="P21" s="46">
        <v>0</v>
      </c>
      <c r="Q21" s="46">
        <v>15</v>
      </c>
      <c r="R21" s="46">
        <v>2</v>
      </c>
      <c r="S21" s="46">
        <v>1</v>
      </c>
      <c r="T21" s="324">
        <v>2</v>
      </c>
      <c r="U21" s="677">
        <f t="shared" si="1"/>
        <v>86</v>
      </c>
    </row>
    <row r="22" spans="1:21" s="6" customFormat="1" ht="18.75" customHeight="1">
      <c r="A22" s="499" t="s">
        <v>1315</v>
      </c>
      <c r="B22" s="46">
        <v>0</v>
      </c>
      <c r="C22" s="46">
        <v>0</v>
      </c>
      <c r="D22" s="47">
        <v>2</v>
      </c>
      <c r="E22" s="46">
        <v>0</v>
      </c>
      <c r="F22" s="46">
        <v>0</v>
      </c>
      <c r="G22" s="47">
        <v>1</v>
      </c>
      <c r="H22" s="46">
        <v>0</v>
      </c>
      <c r="I22" s="47">
        <v>3</v>
      </c>
      <c r="J22" s="46">
        <v>4</v>
      </c>
      <c r="K22" s="46">
        <v>0</v>
      </c>
      <c r="L22" s="46">
        <v>2</v>
      </c>
      <c r="M22" s="47">
        <v>0</v>
      </c>
      <c r="N22" s="46">
        <v>0</v>
      </c>
      <c r="O22" s="47">
        <v>0</v>
      </c>
      <c r="P22" s="46">
        <v>0</v>
      </c>
      <c r="Q22" s="46">
        <v>4</v>
      </c>
      <c r="R22" s="46">
        <v>2</v>
      </c>
      <c r="S22" s="46">
        <v>1</v>
      </c>
      <c r="T22" s="324">
        <v>170</v>
      </c>
      <c r="U22" s="677">
        <f t="shared" si="1"/>
        <v>189</v>
      </c>
    </row>
    <row r="23" spans="1:21" s="6" customFormat="1" ht="18.75" customHeight="1">
      <c r="A23" s="499" t="s">
        <v>1320</v>
      </c>
      <c r="B23" s="46">
        <v>26</v>
      </c>
      <c r="C23" s="46">
        <v>0</v>
      </c>
      <c r="D23" s="47">
        <v>43</v>
      </c>
      <c r="E23" s="46">
        <v>17</v>
      </c>
      <c r="F23" s="46">
        <v>0</v>
      </c>
      <c r="G23" s="47">
        <v>16</v>
      </c>
      <c r="H23" s="46">
        <v>9</v>
      </c>
      <c r="I23" s="47">
        <v>46</v>
      </c>
      <c r="J23" s="46">
        <v>31</v>
      </c>
      <c r="K23" s="46">
        <v>2</v>
      </c>
      <c r="L23" s="46">
        <v>17</v>
      </c>
      <c r="M23" s="47">
        <v>2</v>
      </c>
      <c r="N23" s="46">
        <v>0</v>
      </c>
      <c r="O23" s="47">
        <v>1</v>
      </c>
      <c r="P23" s="46">
        <v>0</v>
      </c>
      <c r="Q23" s="46">
        <v>14</v>
      </c>
      <c r="R23" s="46">
        <v>28</v>
      </c>
      <c r="S23" s="46">
        <v>2</v>
      </c>
      <c r="T23" s="324">
        <v>115</v>
      </c>
      <c r="U23" s="677">
        <f t="shared" si="1"/>
        <v>369</v>
      </c>
    </row>
    <row r="24" spans="1:21" s="6" customFormat="1" ht="18.75" customHeight="1">
      <c r="A24" s="499" t="s">
        <v>0</v>
      </c>
      <c r="B24" s="46">
        <v>6</v>
      </c>
      <c r="C24" s="46">
        <v>0</v>
      </c>
      <c r="D24" s="47">
        <v>27</v>
      </c>
      <c r="E24" s="46">
        <v>0</v>
      </c>
      <c r="F24" s="46">
        <v>0</v>
      </c>
      <c r="G24" s="47">
        <v>2</v>
      </c>
      <c r="H24" s="46">
        <v>3</v>
      </c>
      <c r="I24" s="47">
        <v>11</v>
      </c>
      <c r="J24" s="46">
        <v>24</v>
      </c>
      <c r="K24" s="46">
        <v>0</v>
      </c>
      <c r="L24" s="46">
        <v>4</v>
      </c>
      <c r="M24" s="47">
        <v>0</v>
      </c>
      <c r="N24" s="46">
        <v>2</v>
      </c>
      <c r="O24" s="47">
        <v>0</v>
      </c>
      <c r="P24" s="46">
        <v>1</v>
      </c>
      <c r="Q24" s="46">
        <v>11</v>
      </c>
      <c r="R24" s="46">
        <v>6</v>
      </c>
      <c r="S24" s="46">
        <v>0</v>
      </c>
      <c r="T24" s="324">
        <v>23</v>
      </c>
      <c r="U24" s="677">
        <f t="shared" si="1"/>
        <v>120</v>
      </c>
    </row>
    <row r="25" spans="1:21" s="6" customFormat="1" ht="18.75" customHeight="1">
      <c r="A25" s="499" t="s">
        <v>1</v>
      </c>
      <c r="B25" s="46">
        <v>4</v>
      </c>
      <c r="C25" s="46">
        <v>0</v>
      </c>
      <c r="D25" s="47">
        <v>41</v>
      </c>
      <c r="E25" s="46">
        <v>12</v>
      </c>
      <c r="F25" s="46">
        <v>0</v>
      </c>
      <c r="G25" s="47">
        <v>3</v>
      </c>
      <c r="H25" s="46">
        <v>0</v>
      </c>
      <c r="I25" s="47">
        <v>22</v>
      </c>
      <c r="J25" s="46">
        <v>11</v>
      </c>
      <c r="K25" s="46">
        <v>0</v>
      </c>
      <c r="L25" s="46">
        <v>2</v>
      </c>
      <c r="M25" s="47">
        <v>0</v>
      </c>
      <c r="N25" s="46">
        <v>0</v>
      </c>
      <c r="O25" s="47">
        <v>0</v>
      </c>
      <c r="P25" s="46">
        <v>2</v>
      </c>
      <c r="Q25" s="46">
        <v>3</v>
      </c>
      <c r="R25" s="46">
        <v>0</v>
      </c>
      <c r="S25" s="46">
        <v>0</v>
      </c>
      <c r="T25" s="324">
        <v>64</v>
      </c>
      <c r="U25" s="677">
        <f t="shared" si="1"/>
        <v>164</v>
      </c>
    </row>
    <row r="26" spans="1:21" s="6" customFormat="1" ht="18.75" customHeight="1">
      <c r="A26" s="499" t="s">
        <v>2</v>
      </c>
      <c r="B26" s="46">
        <v>216</v>
      </c>
      <c r="C26" s="46">
        <v>26</v>
      </c>
      <c r="D26" s="47">
        <v>448</v>
      </c>
      <c r="E26" s="46">
        <v>175</v>
      </c>
      <c r="F26" s="46">
        <v>6</v>
      </c>
      <c r="G26" s="47">
        <v>204</v>
      </c>
      <c r="H26" s="46">
        <v>126</v>
      </c>
      <c r="I26" s="47">
        <v>318</v>
      </c>
      <c r="J26" s="46">
        <v>646</v>
      </c>
      <c r="K26" s="46">
        <v>33</v>
      </c>
      <c r="L26" s="46">
        <v>161</v>
      </c>
      <c r="M26" s="47">
        <v>352</v>
      </c>
      <c r="N26" s="46">
        <v>203</v>
      </c>
      <c r="O26" s="47">
        <v>49</v>
      </c>
      <c r="P26" s="46">
        <v>43</v>
      </c>
      <c r="Q26" s="46">
        <v>228</v>
      </c>
      <c r="R26" s="46">
        <v>145</v>
      </c>
      <c r="S26" s="46">
        <v>13</v>
      </c>
      <c r="T26" s="324">
        <v>544</v>
      </c>
      <c r="U26" s="677">
        <f t="shared" si="1"/>
        <v>3936</v>
      </c>
    </row>
    <row r="27" spans="1:21" s="6" customFormat="1" ht="18.75" customHeight="1">
      <c r="A27" s="499" t="s">
        <v>3</v>
      </c>
      <c r="B27" s="46">
        <v>2</v>
      </c>
      <c r="C27" s="46">
        <v>0</v>
      </c>
      <c r="D27" s="47">
        <v>1</v>
      </c>
      <c r="E27" s="46">
        <v>0</v>
      </c>
      <c r="F27" s="46">
        <v>0</v>
      </c>
      <c r="G27" s="47">
        <v>4</v>
      </c>
      <c r="H27" s="46">
        <v>1</v>
      </c>
      <c r="I27" s="47">
        <v>17</v>
      </c>
      <c r="J27" s="46">
        <v>4</v>
      </c>
      <c r="K27" s="46">
        <v>0</v>
      </c>
      <c r="L27" s="46">
        <v>13</v>
      </c>
      <c r="M27" s="47">
        <v>2</v>
      </c>
      <c r="N27" s="46">
        <v>0</v>
      </c>
      <c r="O27" s="47">
        <v>0</v>
      </c>
      <c r="P27" s="46">
        <v>0</v>
      </c>
      <c r="Q27" s="46">
        <v>4</v>
      </c>
      <c r="R27" s="46">
        <v>0</v>
      </c>
      <c r="S27" s="46">
        <v>0</v>
      </c>
      <c r="T27" s="324">
        <v>355</v>
      </c>
      <c r="U27" s="677">
        <f t="shared" si="1"/>
        <v>403</v>
      </c>
    </row>
    <row r="28" spans="1:21" s="6" customFormat="1" ht="18.75" customHeight="1">
      <c r="A28" s="499" t="s">
        <v>1347</v>
      </c>
      <c r="B28" s="46">
        <v>0</v>
      </c>
      <c r="C28" s="46">
        <v>0</v>
      </c>
      <c r="D28" s="47">
        <v>0</v>
      </c>
      <c r="E28" s="46">
        <v>0</v>
      </c>
      <c r="F28" s="46">
        <v>0</v>
      </c>
      <c r="G28" s="47">
        <v>0</v>
      </c>
      <c r="H28" s="46">
        <v>0</v>
      </c>
      <c r="I28" s="47">
        <v>5</v>
      </c>
      <c r="J28" s="46">
        <v>0</v>
      </c>
      <c r="K28" s="46">
        <v>0</v>
      </c>
      <c r="L28" s="46">
        <v>0</v>
      </c>
      <c r="M28" s="47">
        <v>0</v>
      </c>
      <c r="N28" s="46">
        <v>0</v>
      </c>
      <c r="O28" s="47">
        <v>0</v>
      </c>
      <c r="P28" s="46">
        <v>0</v>
      </c>
      <c r="Q28" s="46">
        <v>0</v>
      </c>
      <c r="R28" s="46">
        <v>2</v>
      </c>
      <c r="S28" s="46">
        <v>0</v>
      </c>
      <c r="T28" s="324">
        <v>11</v>
      </c>
      <c r="U28" s="677">
        <f t="shared" si="1"/>
        <v>18</v>
      </c>
    </row>
    <row r="29" spans="1:21" s="6" customFormat="1" ht="18.75" customHeight="1">
      <c r="A29" s="499" t="s">
        <v>4</v>
      </c>
      <c r="B29" s="46">
        <v>2</v>
      </c>
      <c r="C29" s="46">
        <v>0</v>
      </c>
      <c r="D29" s="47">
        <v>0</v>
      </c>
      <c r="E29" s="46">
        <v>0</v>
      </c>
      <c r="F29" s="46">
        <v>0</v>
      </c>
      <c r="G29" s="47">
        <v>0</v>
      </c>
      <c r="H29" s="46">
        <v>0</v>
      </c>
      <c r="I29" s="47">
        <v>0</v>
      </c>
      <c r="J29" s="46">
        <v>3</v>
      </c>
      <c r="K29" s="46">
        <v>0</v>
      </c>
      <c r="L29" s="46">
        <v>2</v>
      </c>
      <c r="M29" s="47">
        <v>0</v>
      </c>
      <c r="N29" s="46">
        <v>0</v>
      </c>
      <c r="O29" s="47">
        <v>0</v>
      </c>
      <c r="P29" s="46">
        <v>0</v>
      </c>
      <c r="Q29" s="46">
        <v>4</v>
      </c>
      <c r="R29" s="46">
        <v>4</v>
      </c>
      <c r="S29" s="46">
        <v>0</v>
      </c>
      <c r="T29" s="324">
        <v>289</v>
      </c>
      <c r="U29" s="677">
        <f t="shared" si="1"/>
        <v>304</v>
      </c>
    </row>
    <row r="30" spans="1:21" s="6" customFormat="1" ht="18.75" customHeight="1">
      <c r="A30" s="499" t="s">
        <v>314</v>
      </c>
      <c r="B30" s="46">
        <v>0</v>
      </c>
      <c r="C30" s="46">
        <v>0</v>
      </c>
      <c r="D30" s="47">
        <v>1</v>
      </c>
      <c r="E30" s="46">
        <v>0</v>
      </c>
      <c r="F30" s="46">
        <v>0</v>
      </c>
      <c r="G30" s="47">
        <v>0</v>
      </c>
      <c r="H30" s="46">
        <v>0</v>
      </c>
      <c r="I30" s="47">
        <v>0</v>
      </c>
      <c r="J30" s="46">
        <v>0</v>
      </c>
      <c r="K30" s="46">
        <v>0</v>
      </c>
      <c r="L30" s="46">
        <v>0</v>
      </c>
      <c r="M30" s="47">
        <v>0</v>
      </c>
      <c r="N30" s="46">
        <v>0</v>
      </c>
      <c r="O30" s="47">
        <v>0</v>
      </c>
      <c r="P30" s="46">
        <v>0</v>
      </c>
      <c r="Q30" s="46">
        <v>0</v>
      </c>
      <c r="R30" s="46">
        <v>0</v>
      </c>
      <c r="S30" s="46">
        <v>0</v>
      </c>
      <c r="T30" s="324">
        <v>34</v>
      </c>
      <c r="U30" s="677">
        <f t="shared" si="1"/>
        <v>35</v>
      </c>
    </row>
    <row r="31" spans="1:21" s="6" customFormat="1" ht="18.75" customHeight="1">
      <c r="A31" s="499" t="s">
        <v>5</v>
      </c>
      <c r="B31" s="46">
        <v>9</v>
      </c>
      <c r="C31" s="46">
        <v>0</v>
      </c>
      <c r="D31" s="47">
        <v>13</v>
      </c>
      <c r="E31" s="46">
        <v>0</v>
      </c>
      <c r="F31" s="46">
        <v>0</v>
      </c>
      <c r="G31" s="47">
        <v>1</v>
      </c>
      <c r="H31" s="46">
        <v>4</v>
      </c>
      <c r="I31" s="47">
        <v>5</v>
      </c>
      <c r="J31" s="46">
        <v>30</v>
      </c>
      <c r="K31" s="46">
        <v>1</v>
      </c>
      <c r="L31" s="46">
        <v>4</v>
      </c>
      <c r="M31" s="47">
        <v>6</v>
      </c>
      <c r="N31" s="46">
        <v>1</v>
      </c>
      <c r="O31" s="47">
        <v>0</v>
      </c>
      <c r="P31" s="46">
        <v>1</v>
      </c>
      <c r="Q31" s="46">
        <v>3</v>
      </c>
      <c r="R31" s="46">
        <v>1</v>
      </c>
      <c r="S31" s="46">
        <v>0</v>
      </c>
      <c r="T31" s="324">
        <v>23</v>
      </c>
      <c r="U31" s="677">
        <f t="shared" si="1"/>
        <v>102</v>
      </c>
    </row>
    <row r="32" spans="1:21" s="6" customFormat="1" ht="18.75" customHeight="1">
      <c r="A32" s="680" t="s">
        <v>6</v>
      </c>
      <c r="B32" s="46">
        <v>57</v>
      </c>
      <c r="C32" s="46">
        <v>17</v>
      </c>
      <c r="D32" s="47">
        <v>50</v>
      </c>
      <c r="E32" s="46">
        <v>58</v>
      </c>
      <c r="F32" s="46">
        <v>0</v>
      </c>
      <c r="G32" s="47">
        <v>19</v>
      </c>
      <c r="H32" s="46">
        <v>54</v>
      </c>
      <c r="I32" s="47">
        <v>69</v>
      </c>
      <c r="J32" s="46">
        <v>110</v>
      </c>
      <c r="K32" s="46">
        <v>1</v>
      </c>
      <c r="L32" s="46">
        <v>47</v>
      </c>
      <c r="M32" s="47">
        <v>23</v>
      </c>
      <c r="N32" s="46">
        <v>11</v>
      </c>
      <c r="O32" s="47">
        <v>6</v>
      </c>
      <c r="P32" s="46">
        <v>0</v>
      </c>
      <c r="Q32" s="46">
        <v>45</v>
      </c>
      <c r="R32" s="46">
        <v>59</v>
      </c>
      <c r="S32" s="46">
        <v>4</v>
      </c>
      <c r="T32" s="324">
        <v>402</v>
      </c>
      <c r="U32" s="677">
        <f t="shared" si="1"/>
        <v>1032</v>
      </c>
    </row>
    <row r="33" spans="1:21" s="6" customFormat="1" ht="18.75" customHeight="1">
      <c r="A33" s="1082" t="s">
        <v>310</v>
      </c>
      <c r="B33" s="46">
        <v>144</v>
      </c>
      <c r="C33" s="46">
        <v>25</v>
      </c>
      <c r="D33" s="47">
        <v>134</v>
      </c>
      <c r="E33" s="46">
        <v>73</v>
      </c>
      <c r="F33" s="46">
        <v>2</v>
      </c>
      <c r="G33" s="47">
        <v>65</v>
      </c>
      <c r="H33" s="46">
        <v>83</v>
      </c>
      <c r="I33" s="47">
        <v>174</v>
      </c>
      <c r="J33" s="46">
        <v>265</v>
      </c>
      <c r="K33" s="46">
        <v>17</v>
      </c>
      <c r="L33" s="46">
        <v>47</v>
      </c>
      <c r="M33" s="47">
        <v>89</v>
      </c>
      <c r="N33" s="46">
        <v>70</v>
      </c>
      <c r="O33" s="47">
        <v>15</v>
      </c>
      <c r="P33" s="46">
        <v>47</v>
      </c>
      <c r="Q33" s="46">
        <v>101</v>
      </c>
      <c r="R33" s="46">
        <v>138</v>
      </c>
      <c r="S33" s="46">
        <v>4</v>
      </c>
      <c r="T33" s="324">
        <v>163</v>
      </c>
      <c r="U33" s="677">
        <f t="shared" si="1"/>
        <v>1656</v>
      </c>
    </row>
    <row r="34" spans="1:21" s="6" customFormat="1" ht="18.75" customHeight="1">
      <c r="A34" s="499" t="s">
        <v>7</v>
      </c>
      <c r="B34" s="46">
        <v>8</v>
      </c>
      <c r="C34" s="46">
        <v>1</v>
      </c>
      <c r="D34" s="47">
        <v>6</v>
      </c>
      <c r="E34" s="46">
        <v>3</v>
      </c>
      <c r="F34" s="46">
        <v>0</v>
      </c>
      <c r="G34" s="47">
        <v>3</v>
      </c>
      <c r="H34" s="46">
        <v>15</v>
      </c>
      <c r="I34" s="47">
        <v>10</v>
      </c>
      <c r="J34" s="46">
        <v>17</v>
      </c>
      <c r="K34" s="46">
        <v>1</v>
      </c>
      <c r="L34" s="46">
        <v>5</v>
      </c>
      <c r="M34" s="47">
        <v>3</v>
      </c>
      <c r="N34" s="46">
        <v>0</v>
      </c>
      <c r="O34" s="47">
        <v>0</v>
      </c>
      <c r="P34" s="46">
        <v>0</v>
      </c>
      <c r="Q34" s="46">
        <v>4</v>
      </c>
      <c r="R34" s="46">
        <v>5</v>
      </c>
      <c r="S34" s="46">
        <v>0</v>
      </c>
      <c r="T34" s="324">
        <v>64</v>
      </c>
      <c r="U34" s="677">
        <f t="shared" si="1"/>
        <v>145</v>
      </c>
    </row>
    <row r="35" spans="1:21" s="6" customFormat="1" ht="18.75" customHeight="1">
      <c r="A35" s="499" t="s">
        <v>8</v>
      </c>
      <c r="B35" s="46">
        <v>61</v>
      </c>
      <c r="C35" s="46">
        <v>13</v>
      </c>
      <c r="D35" s="47">
        <v>75</v>
      </c>
      <c r="E35" s="46">
        <v>12</v>
      </c>
      <c r="F35" s="46">
        <v>0</v>
      </c>
      <c r="G35" s="47">
        <v>9</v>
      </c>
      <c r="H35" s="46">
        <v>8</v>
      </c>
      <c r="I35" s="47">
        <v>46</v>
      </c>
      <c r="J35" s="46">
        <v>52</v>
      </c>
      <c r="K35" s="46">
        <v>2</v>
      </c>
      <c r="L35" s="46">
        <v>12</v>
      </c>
      <c r="M35" s="47">
        <v>22</v>
      </c>
      <c r="N35" s="46">
        <v>17</v>
      </c>
      <c r="O35" s="47">
        <v>3</v>
      </c>
      <c r="P35" s="46">
        <v>0</v>
      </c>
      <c r="Q35" s="46">
        <v>52</v>
      </c>
      <c r="R35" s="46">
        <v>18</v>
      </c>
      <c r="S35" s="46">
        <v>5</v>
      </c>
      <c r="T35" s="324">
        <v>128</v>
      </c>
      <c r="U35" s="677">
        <f t="shared" si="1"/>
        <v>535</v>
      </c>
    </row>
    <row r="36" spans="1:21" s="6" customFormat="1" ht="18.75" customHeight="1">
      <c r="A36" s="499" t="s">
        <v>9</v>
      </c>
      <c r="B36" s="46">
        <v>3</v>
      </c>
      <c r="C36" s="46">
        <v>0</v>
      </c>
      <c r="D36" s="47">
        <v>1</v>
      </c>
      <c r="E36" s="46">
        <v>5</v>
      </c>
      <c r="F36" s="46">
        <v>0</v>
      </c>
      <c r="G36" s="47">
        <v>1</v>
      </c>
      <c r="H36" s="46">
        <v>4</v>
      </c>
      <c r="I36" s="47">
        <v>0</v>
      </c>
      <c r="J36" s="46">
        <v>6</v>
      </c>
      <c r="K36" s="46">
        <v>0</v>
      </c>
      <c r="L36" s="46">
        <v>9</v>
      </c>
      <c r="M36" s="47">
        <v>0</v>
      </c>
      <c r="N36" s="46">
        <v>1</v>
      </c>
      <c r="O36" s="47">
        <v>0</v>
      </c>
      <c r="P36" s="46">
        <v>0</v>
      </c>
      <c r="Q36" s="46">
        <v>1</v>
      </c>
      <c r="R36" s="46">
        <v>0</v>
      </c>
      <c r="S36" s="46">
        <v>0</v>
      </c>
      <c r="T36" s="324">
        <v>14</v>
      </c>
      <c r="U36" s="677">
        <f t="shared" si="1"/>
        <v>45</v>
      </c>
    </row>
    <row r="37" spans="1:21" s="6" customFormat="1" ht="18.75" customHeight="1">
      <c r="A37" s="495" t="s">
        <v>819</v>
      </c>
      <c r="B37" s="70">
        <f>SUM(B9:B36)</f>
        <v>914</v>
      </c>
      <c r="C37" s="70">
        <f>SUM(C9:C36)</f>
        <v>130</v>
      </c>
      <c r="D37" s="681">
        <f t="shared" ref="D37:T37" si="2">SUM(D9:D36)</f>
        <v>1456</v>
      </c>
      <c r="E37" s="70">
        <f t="shared" si="2"/>
        <v>505</v>
      </c>
      <c r="F37" s="70">
        <f t="shared" si="2"/>
        <v>13</v>
      </c>
      <c r="G37" s="681">
        <f t="shared" si="2"/>
        <v>399</v>
      </c>
      <c r="H37" s="70">
        <f t="shared" si="2"/>
        <v>488</v>
      </c>
      <c r="I37" s="682">
        <f t="shared" si="2"/>
        <v>1355</v>
      </c>
      <c r="J37" s="682">
        <f t="shared" si="2"/>
        <v>2145</v>
      </c>
      <c r="K37" s="682">
        <f t="shared" si="2"/>
        <v>89</v>
      </c>
      <c r="L37" s="70">
        <f t="shared" si="2"/>
        <v>656</v>
      </c>
      <c r="M37" s="70">
        <f t="shared" si="2"/>
        <v>776</v>
      </c>
      <c r="N37" s="70">
        <f t="shared" si="2"/>
        <v>482</v>
      </c>
      <c r="O37" s="70">
        <f t="shared" si="2"/>
        <v>97</v>
      </c>
      <c r="P37" s="70">
        <f t="shared" si="2"/>
        <v>108</v>
      </c>
      <c r="Q37" s="70">
        <f t="shared" si="2"/>
        <v>921</v>
      </c>
      <c r="R37" s="70">
        <f>SUM(R9:R36)</f>
        <v>859</v>
      </c>
      <c r="S37" s="70">
        <f t="shared" si="2"/>
        <v>43</v>
      </c>
      <c r="T37" s="70">
        <f t="shared" si="2"/>
        <v>3080</v>
      </c>
      <c r="U37" s="681">
        <f t="shared" si="1"/>
        <v>14516</v>
      </c>
    </row>
    <row r="38" spans="1:21">
      <c r="A38" s="311"/>
      <c r="B38" s="47"/>
      <c r="C38" s="47"/>
      <c r="D38" s="47"/>
      <c r="E38" s="47"/>
      <c r="F38" s="47"/>
      <c r="G38" s="47"/>
      <c r="H38" s="47"/>
      <c r="I38" s="47"/>
      <c r="J38" s="47"/>
      <c r="K38" s="47"/>
      <c r="L38" s="47"/>
      <c r="M38" s="47"/>
      <c r="N38" s="47"/>
      <c r="O38" s="47"/>
      <c r="P38" s="47"/>
      <c r="Q38" s="47"/>
      <c r="R38" s="47"/>
      <c r="S38" s="47"/>
      <c r="T38" s="47"/>
      <c r="U38" s="336"/>
    </row>
    <row r="39" spans="1:21">
      <c r="A39" s="221"/>
    </row>
    <row r="40" spans="1:21">
      <c r="A40" s="221"/>
    </row>
    <row r="41" spans="1:21">
      <c r="A41" s="221"/>
    </row>
    <row r="42" spans="1:21">
      <c r="A42" s="221"/>
    </row>
    <row r="43" spans="1:21">
      <c r="A43" s="221"/>
    </row>
    <row r="44" spans="1:21">
      <c r="A44" s="221"/>
    </row>
    <row r="45" spans="1:21">
      <c r="A45" s="221"/>
    </row>
    <row r="46" spans="1:21">
      <c r="A46" s="221"/>
    </row>
    <row r="47" spans="1:21">
      <c r="A47" s="221"/>
    </row>
  </sheetData>
  <mergeCells count="4">
    <mergeCell ref="A1:U1"/>
    <mergeCell ref="A2:U2"/>
    <mergeCell ref="A3:U3"/>
    <mergeCell ref="B6:S6"/>
  </mergeCells>
  <phoneticPr fontId="19" type="noConversion"/>
  <pageMargins left="0.78740157480314965" right="0.59055118110236227" top="0.59055118110236227" bottom="0.78740157480314965" header="0" footer="0"/>
  <pageSetup paperSize="5" scale="89" orientation="landscape" horizontalDpi="300" verticalDpi="300" r:id="rId1"/>
  <headerFooter alignWithMargins="0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K84"/>
  <sheetViews>
    <sheetView topLeftCell="A10" workbookViewId="0">
      <selection activeCell="J85" sqref="J85"/>
    </sheetView>
  </sheetViews>
  <sheetFormatPr baseColWidth="10" defaultRowHeight="12.75"/>
  <cols>
    <col min="1" max="1" width="13.7109375" customWidth="1"/>
    <col min="2" max="2" width="16.7109375" customWidth="1"/>
    <col min="3" max="7" width="9.5703125" customWidth="1"/>
  </cols>
  <sheetData>
    <row r="3" spans="1:8">
      <c r="A3" t="s">
        <v>1284</v>
      </c>
    </row>
    <row r="5" spans="1:8" ht="25.5">
      <c r="A5" s="120" t="s">
        <v>1290</v>
      </c>
      <c r="B5" s="683" t="s">
        <v>10</v>
      </c>
      <c r="C5" s="225">
        <v>2009</v>
      </c>
      <c r="D5" s="225">
        <v>2010</v>
      </c>
      <c r="E5" s="225">
        <v>2011</v>
      </c>
      <c r="F5" s="225">
        <v>2012</v>
      </c>
      <c r="G5" s="225">
        <v>2013</v>
      </c>
      <c r="H5" s="225">
        <v>2014</v>
      </c>
    </row>
    <row r="6" spans="1:8">
      <c r="A6" s="684"/>
      <c r="B6" s="685"/>
      <c r="C6" s="315"/>
      <c r="D6" s="315"/>
      <c r="E6" s="315"/>
      <c r="F6" s="315"/>
      <c r="G6" s="315"/>
      <c r="H6" s="315"/>
    </row>
    <row r="7" spans="1:8">
      <c r="A7" s="254" t="s">
        <v>1022</v>
      </c>
      <c r="B7" s="303" t="s">
        <v>11</v>
      </c>
      <c r="C7" s="686">
        <v>10738</v>
      </c>
      <c r="D7" s="686">
        <v>10788</v>
      </c>
      <c r="E7" s="686">
        <v>9533</v>
      </c>
      <c r="F7" s="686">
        <v>9557</v>
      </c>
      <c r="G7" s="686">
        <v>9539</v>
      </c>
      <c r="H7" s="686">
        <f>+SUM('8'!$D$11:$I$13)-H9</f>
        <v>9524</v>
      </c>
    </row>
    <row r="8" spans="1:8">
      <c r="A8" s="254"/>
      <c r="B8" s="303" t="s">
        <v>1047</v>
      </c>
      <c r="C8" s="687">
        <v>11126</v>
      </c>
      <c r="D8" s="687">
        <v>11157</v>
      </c>
      <c r="E8" s="687">
        <v>11126</v>
      </c>
      <c r="F8" s="687">
        <v>11175</v>
      </c>
      <c r="G8" s="687">
        <v>11153</v>
      </c>
      <c r="H8" s="686">
        <f>+SUM('8'!$D$10:$I$10)+SUM('8'!$D$14:$I$14)</f>
        <v>11128</v>
      </c>
    </row>
    <row r="9" spans="1:8">
      <c r="A9" s="254"/>
      <c r="B9" s="303" t="s">
        <v>428</v>
      </c>
      <c r="C9" s="687"/>
      <c r="D9" s="687"/>
      <c r="E9" s="687">
        <v>1260</v>
      </c>
      <c r="F9" s="687">
        <v>1198</v>
      </c>
      <c r="G9" s="687">
        <v>1196</v>
      </c>
      <c r="H9" s="687">
        <f>SUM('8'!$D$12:$I$12)</f>
        <v>1194</v>
      </c>
    </row>
    <row r="10" spans="1:8">
      <c r="A10" s="254" t="s">
        <v>682</v>
      </c>
      <c r="B10" s="303" t="s">
        <v>12</v>
      </c>
      <c r="C10" s="687">
        <v>5145</v>
      </c>
      <c r="D10" s="687">
        <v>5111</v>
      </c>
      <c r="E10" s="687">
        <v>5069</v>
      </c>
      <c r="F10" s="687">
        <v>5026</v>
      </c>
      <c r="G10" s="687">
        <v>3999</v>
      </c>
      <c r="H10" s="687">
        <f>SUM('8'!$D$17:$I$17)-H11</f>
        <v>3963</v>
      </c>
    </row>
    <row r="11" spans="1:8">
      <c r="A11" s="254"/>
      <c r="B11" s="303" t="s">
        <v>1377</v>
      </c>
      <c r="C11" s="687"/>
      <c r="D11" s="687"/>
      <c r="E11" s="687"/>
      <c r="F11" s="687"/>
      <c r="G11" s="687">
        <v>981</v>
      </c>
      <c r="H11" s="687">
        <f>SUM('8'!$D$20:$I$20)</f>
        <v>975</v>
      </c>
    </row>
    <row r="12" spans="1:8">
      <c r="A12" s="254" t="s">
        <v>919</v>
      </c>
      <c r="B12" s="303" t="s">
        <v>13</v>
      </c>
      <c r="C12" s="687">
        <v>3478</v>
      </c>
      <c r="D12" s="687">
        <v>3402</v>
      </c>
      <c r="E12" s="687">
        <v>3348</v>
      </c>
      <c r="F12" s="687">
        <v>3288</v>
      </c>
      <c r="G12" s="687">
        <v>3233</v>
      </c>
      <c r="H12" s="687">
        <f>SUM('8'!$D$25:$I$25)</f>
        <v>3174</v>
      </c>
    </row>
    <row r="13" spans="1:8">
      <c r="A13" s="254" t="s">
        <v>683</v>
      </c>
      <c r="B13" s="303" t="s">
        <v>1050</v>
      </c>
      <c r="C13" s="687">
        <v>2401</v>
      </c>
      <c r="D13" s="687">
        <v>2371</v>
      </c>
      <c r="E13" s="687">
        <v>2349</v>
      </c>
      <c r="F13" s="687">
        <v>2329</v>
      </c>
      <c r="G13" s="687">
        <v>2307</v>
      </c>
      <c r="H13" s="687">
        <f>SUM('8'!$D$29:$I$29)</f>
        <v>2286</v>
      </c>
    </row>
    <row r="14" spans="1:8">
      <c r="A14" s="254" t="s">
        <v>684</v>
      </c>
      <c r="B14" s="303" t="s">
        <v>895</v>
      </c>
      <c r="C14" s="687">
        <v>22306</v>
      </c>
      <c r="D14" s="687">
        <v>10824</v>
      </c>
      <c r="E14" s="687">
        <v>10793</v>
      </c>
      <c r="F14" s="687">
        <v>10886</v>
      </c>
      <c r="G14" s="687">
        <v>10864</v>
      </c>
      <c r="H14" s="687">
        <f>SUM('8'!$D$38:$I$38)</f>
        <v>10843</v>
      </c>
    </row>
    <row r="15" spans="1:8">
      <c r="A15" s="254"/>
      <c r="B15" s="303" t="s">
        <v>696</v>
      </c>
      <c r="C15" s="686"/>
      <c r="D15" s="686">
        <v>11463</v>
      </c>
      <c r="E15" s="686">
        <v>11448</v>
      </c>
      <c r="F15" s="686">
        <v>11403</v>
      </c>
      <c r="G15" s="686">
        <v>10235</v>
      </c>
      <c r="H15" s="687">
        <f>SUM('8'!$D$37:$I$37)-H17-H14-H16</f>
        <v>10208</v>
      </c>
    </row>
    <row r="16" spans="1:8">
      <c r="A16" s="254"/>
      <c r="B16" s="303" t="s">
        <v>1378</v>
      </c>
      <c r="C16" s="686"/>
      <c r="D16" s="686"/>
      <c r="E16" s="686"/>
      <c r="F16" s="686"/>
      <c r="G16" s="686">
        <v>1144</v>
      </c>
      <c r="H16" s="687">
        <f>SUM('8'!$D$41:$I$41)</f>
        <v>1143</v>
      </c>
    </row>
    <row r="17" spans="1:9">
      <c r="A17" s="254"/>
      <c r="B17" s="303" t="s">
        <v>897</v>
      </c>
      <c r="C17" s="686">
        <v>2310</v>
      </c>
      <c r="D17" s="686">
        <v>2277</v>
      </c>
      <c r="E17" s="686">
        <v>2267</v>
      </c>
      <c r="F17" s="686">
        <v>2172</v>
      </c>
      <c r="G17" s="686">
        <v>2170</v>
      </c>
      <c r="H17" s="687">
        <f>SUM('8'!$D$40:$I$40)</f>
        <v>2168</v>
      </c>
    </row>
    <row r="18" spans="1:9">
      <c r="A18" s="254" t="s">
        <v>685</v>
      </c>
      <c r="B18" s="303" t="s">
        <v>1053</v>
      </c>
      <c r="C18" s="687">
        <v>5310</v>
      </c>
      <c r="D18" s="687">
        <v>5288</v>
      </c>
      <c r="E18" s="687">
        <v>5263</v>
      </c>
      <c r="F18" s="687">
        <v>5237</v>
      </c>
      <c r="G18" s="687">
        <v>5212</v>
      </c>
      <c r="H18" s="687">
        <f>SUM('8'!$D$43:$I$43)</f>
        <v>5187</v>
      </c>
    </row>
    <row r="19" spans="1:9">
      <c r="A19" s="254" t="s">
        <v>921</v>
      </c>
      <c r="B19" s="303" t="s">
        <v>1054</v>
      </c>
      <c r="C19" s="687">
        <v>4685</v>
      </c>
      <c r="D19" s="687">
        <v>4643</v>
      </c>
      <c r="E19" s="687">
        <v>4086</v>
      </c>
      <c r="F19" s="687">
        <v>4049</v>
      </c>
      <c r="G19" s="687">
        <v>4024</v>
      </c>
      <c r="H19" s="687">
        <f>SUM('8'!$D$56:$I$56)-H20</f>
        <v>3996</v>
      </c>
    </row>
    <row r="20" spans="1:9">
      <c r="A20" s="254"/>
      <c r="B20" s="303" t="s">
        <v>429</v>
      </c>
      <c r="C20" s="687"/>
      <c r="D20" s="687"/>
      <c r="E20" s="687">
        <v>530</v>
      </c>
      <c r="F20" s="687">
        <v>536</v>
      </c>
      <c r="G20" s="687">
        <v>531</v>
      </c>
      <c r="H20" s="687">
        <f>SUM('8'!$D$58:$I$58)</f>
        <v>531</v>
      </c>
    </row>
    <row r="21" spans="1:9">
      <c r="A21" s="254" t="s">
        <v>687</v>
      </c>
      <c r="B21" s="303" t="s">
        <v>1055</v>
      </c>
      <c r="C21" s="687">
        <v>2441</v>
      </c>
      <c r="D21" s="687">
        <v>2409</v>
      </c>
      <c r="E21" s="687">
        <v>2384</v>
      </c>
      <c r="F21" s="687">
        <v>2363</v>
      </c>
      <c r="G21" s="687">
        <v>2341</v>
      </c>
      <c r="H21" s="687">
        <f>SUM('8'!$D$61:$I$61)</f>
        <v>2319</v>
      </c>
    </row>
    <row r="22" spans="1:9">
      <c r="A22" s="254" t="s">
        <v>688</v>
      </c>
      <c r="B22" s="303" t="s">
        <v>902</v>
      </c>
      <c r="C22" s="687">
        <v>7413</v>
      </c>
      <c r="D22" s="687">
        <v>7292</v>
      </c>
      <c r="E22" s="687">
        <v>7197</v>
      </c>
      <c r="F22" s="687">
        <v>7099</v>
      </c>
      <c r="G22" s="687">
        <v>7005</v>
      </c>
      <c r="H22" s="687">
        <f>SUM('8'!$D$67:$I$67)</f>
        <v>6910</v>
      </c>
    </row>
    <row r="23" spans="1:9">
      <c r="A23" s="254" t="s">
        <v>689</v>
      </c>
      <c r="B23" s="303" t="s">
        <v>1056</v>
      </c>
      <c r="C23" s="687">
        <v>4203</v>
      </c>
      <c r="D23" s="687">
        <v>4148</v>
      </c>
      <c r="E23" s="687">
        <v>4099</v>
      </c>
      <c r="F23" s="687">
        <v>4045</v>
      </c>
      <c r="G23" s="687">
        <v>3577</v>
      </c>
      <c r="H23" s="687">
        <f>SUM('8'!$D$73:$I$73)-H24</f>
        <v>3529</v>
      </c>
    </row>
    <row r="24" spans="1:9">
      <c r="A24" s="254"/>
      <c r="B24" s="303" t="s">
        <v>1337</v>
      </c>
      <c r="C24" s="197"/>
      <c r="D24" s="197"/>
      <c r="E24" s="197"/>
      <c r="F24" s="197"/>
      <c r="G24" s="1178">
        <v>420</v>
      </c>
      <c r="H24" s="687">
        <f>SUM('8'!$D$75:$I$75)</f>
        <v>420</v>
      </c>
    </row>
    <row r="25" spans="1:9">
      <c r="A25" s="688" t="s">
        <v>690</v>
      </c>
      <c r="B25" s="306"/>
      <c r="C25" s="689">
        <f>SUM(C7:C23)</f>
        <v>81556</v>
      </c>
      <c r="D25" s="689">
        <f>SUM(D7:D23)</f>
        <v>81173</v>
      </c>
      <c r="E25" s="689">
        <f>SUM(E7:E23)</f>
        <v>80752</v>
      </c>
      <c r="F25" s="689">
        <f>SUM(F7:F23)</f>
        <v>80363</v>
      </c>
      <c r="G25" s="689">
        <f>SUM(G7:G24)</f>
        <v>79931</v>
      </c>
      <c r="H25" s="689">
        <f>SUM(H7:H24)</f>
        <v>79498</v>
      </c>
    </row>
    <row r="26" spans="1:9">
      <c r="A26" t="s">
        <v>14</v>
      </c>
      <c r="C26" s="1070"/>
      <c r="D26" s="154"/>
      <c r="E26" s="1070"/>
      <c r="F26" s="154"/>
      <c r="G26" s="1070"/>
    </row>
    <row r="28" spans="1:9">
      <c r="A28" t="s">
        <v>15</v>
      </c>
    </row>
    <row r="29" spans="1:9" ht="25.5">
      <c r="A29" s="120" t="s">
        <v>1290</v>
      </c>
      <c r="B29" s="683" t="s">
        <v>10</v>
      </c>
      <c r="C29" s="225">
        <f t="shared" ref="C29:H29" si="0">+C5</f>
        <v>2009</v>
      </c>
      <c r="D29" s="225">
        <f t="shared" si="0"/>
        <v>2010</v>
      </c>
      <c r="E29" s="225">
        <f t="shared" si="0"/>
        <v>2011</v>
      </c>
      <c r="F29" s="225">
        <f t="shared" si="0"/>
        <v>2012</v>
      </c>
      <c r="G29" s="225">
        <f t="shared" si="0"/>
        <v>2013</v>
      </c>
      <c r="H29" s="225">
        <f t="shared" si="0"/>
        <v>2014</v>
      </c>
      <c r="I29" s="243"/>
    </row>
    <row r="30" spans="1:9">
      <c r="A30" s="684"/>
      <c r="B30" s="685"/>
      <c r="C30" s="315"/>
      <c r="D30" s="315"/>
      <c r="E30" s="315"/>
      <c r="F30" s="315"/>
      <c r="G30" s="315"/>
      <c r="H30" s="315"/>
    </row>
    <row r="31" spans="1:9">
      <c r="A31" s="254" t="s">
        <v>1022</v>
      </c>
      <c r="B31" s="303" t="s">
        <v>11</v>
      </c>
      <c r="C31" s="690">
        <v>2524</v>
      </c>
      <c r="D31" s="691">
        <v>2632</v>
      </c>
      <c r="E31" s="691">
        <v>3696</v>
      </c>
      <c r="F31" s="691">
        <v>4915</v>
      </c>
      <c r="G31" s="691">
        <v>4929</v>
      </c>
      <c r="H31" s="692">
        <f>+SUM([7]A09!$E$37:$L$37)+SUM([9]A09!$E$37:$L$37)</f>
        <v>3961</v>
      </c>
    </row>
    <row r="32" spans="1:9">
      <c r="A32" s="254"/>
      <c r="B32" s="303" t="s">
        <v>1047</v>
      </c>
      <c r="C32" s="690">
        <v>7796</v>
      </c>
      <c r="D32" s="691">
        <v>8867</v>
      </c>
      <c r="E32" s="691">
        <v>2815</v>
      </c>
      <c r="F32" s="691">
        <v>5400</v>
      </c>
      <c r="G32" s="691">
        <v>4355</v>
      </c>
      <c r="H32" s="692">
        <f>+SUM([10]A09!$E$37:$L$37)</f>
        <v>4279</v>
      </c>
    </row>
    <row r="33" spans="1:11">
      <c r="A33" s="254"/>
      <c r="B33" s="303" t="s">
        <v>428</v>
      </c>
      <c r="C33" s="690"/>
      <c r="D33" s="691"/>
      <c r="E33" s="691"/>
      <c r="F33" s="691">
        <v>1159</v>
      </c>
      <c r="G33" s="691">
        <v>995</v>
      </c>
      <c r="H33" s="692">
        <f>+SUM([8]A09!$E$37:$L$37)</f>
        <v>1109</v>
      </c>
    </row>
    <row r="34" spans="1:11">
      <c r="A34" s="254" t="s">
        <v>682</v>
      </c>
      <c r="B34" s="303" t="s">
        <v>12</v>
      </c>
      <c r="C34" s="690">
        <v>1260</v>
      </c>
      <c r="D34" s="691">
        <v>2012</v>
      </c>
      <c r="E34" s="691">
        <v>3534</v>
      </c>
      <c r="F34" s="691">
        <v>3498</v>
      </c>
      <c r="G34" s="691">
        <v>3440</v>
      </c>
      <c r="H34" s="692">
        <f>+SUM([11]A09!$E$37:$L$37)+SUM([13]A09!$E$37:$L$37)</f>
        <v>3278</v>
      </c>
      <c r="J34" s="693"/>
    </row>
    <row r="35" spans="1:11">
      <c r="A35" s="254"/>
      <c r="B35" s="303" t="s">
        <v>1377</v>
      </c>
      <c r="C35" s="690"/>
      <c r="D35" s="691"/>
      <c r="E35" s="691"/>
      <c r="F35" s="691"/>
      <c r="G35" s="691">
        <v>1326</v>
      </c>
      <c r="H35" s="692">
        <f>+SUM([12]A09!$E$37:$L$37)</f>
        <v>1071</v>
      </c>
      <c r="J35" s="693"/>
    </row>
    <row r="36" spans="1:11">
      <c r="A36" s="254" t="s">
        <v>919</v>
      </c>
      <c r="B36" s="303" t="s">
        <v>13</v>
      </c>
      <c r="C36" s="690">
        <v>3607</v>
      </c>
      <c r="D36" s="691">
        <v>5471</v>
      </c>
      <c r="E36" s="691">
        <v>4819</v>
      </c>
      <c r="F36" s="691">
        <v>3986</v>
      </c>
      <c r="G36" s="691">
        <v>4989</v>
      </c>
      <c r="H36" s="692">
        <f>+SUM([14]A09!$E$37:$L$37)+SUM([15]A09!$E$37:$L$37)</f>
        <v>3302</v>
      </c>
      <c r="J36" s="693"/>
    </row>
    <row r="37" spans="1:11">
      <c r="A37" s="254" t="s">
        <v>683</v>
      </c>
      <c r="B37" s="303" t="s">
        <v>1050</v>
      </c>
      <c r="C37" s="690">
        <v>2985</v>
      </c>
      <c r="D37" s="691">
        <v>5298</v>
      </c>
      <c r="E37" s="691">
        <v>5302</v>
      </c>
      <c r="F37" s="691">
        <v>9398</v>
      </c>
      <c r="G37" s="691">
        <v>9451</v>
      </c>
      <c r="H37" s="692">
        <f>+SUM([16]A09!$E$37:$L$37)</f>
        <v>5221</v>
      </c>
    </row>
    <row r="38" spans="1:11">
      <c r="A38" s="254" t="s">
        <v>684</v>
      </c>
      <c r="B38" s="303" t="s">
        <v>895</v>
      </c>
      <c r="C38" s="690">
        <v>17389</v>
      </c>
      <c r="D38" s="691">
        <v>12390</v>
      </c>
      <c r="E38" s="691">
        <v>12246</v>
      </c>
      <c r="F38" s="691">
        <v>9563</v>
      </c>
      <c r="G38" s="691">
        <v>9671</v>
      </c>
      <c r="H38" s="692">
        <f>+SUM([17]A09!$E$37:$L$37)</f>
        <v>8511</v>
      </c>
    </row>
    <row r="39" spans="1:11">
      <c r="A39" s="254"/>
      <c r="B39" s="303" t="s">
        <v>696</v>
      </c>
      <c r="C39" s="690"/>
      <c r="D39" s="691"/>
      <c r="E39" s="691">
        <v>12236</v>
      </c>
      <c r="F39" s="691">
        <v>13688</v>
      </c>
      <c r="G39" s="691">
        <v>12669</v>
      </c>
      <c r="H39" s="692">
        <f>+SUM([18]A09!$E$37:$L$37)</f>
        <v>15653</v>
      </c>
    </row>
    <row r="40" spans="1:11">
      <c r="A40" s="254"/>
      <c r="B40" s="303" t="s">
        <v>1378</v>
      </c>
      <c r="C40" s="690"/>
      <c r="D40" s="691"/>
      <c r="E40" s="691"/>
      <c r="F40" s="691"/>
      <c r="G40" s="691">
        <v>1764</v>
      </c>
      <c r="H40" s="692">
        <f>+SUM([19]A09!$E$37:$L$37)</f>
        <v>1615</v>
      </c>
    </row>
    <row r="41" spans="1:11">
      <c r="A41" s="254"/>
      <c r="B41" s="303" t="s">
        <v>897</v>
      </c>
      <c r="C41" s="690">
        <v>1501</v>
      </c>
      <c r="D41" s="691">
        <v>1523</v>
      </c>
      <c r="E41" s="691">
        <v>1772</v>
      </c>
      <c r="F41" s="691">
        <v>2532</v>
      </c>
      <c r="G41" s="691">
        <v>3233</v>
      </c>
      <c r="H41" s="692">
        <f>+SUM([36]A09!$E$37:$L$37)</f>
        <v>3934</v>
      </c>
    </row>
    <row r="42" spans="1:11">
      <c r="A42" s="254" t="s">
        <v>685</v>
      </c>
      <c r="B42" s="303" t="s">
        <v>1053</v>
      </c>
      <c r="C42" s="690">
        <v>3190</v>
      </c>
      <c r="D42" s="691">
        <v>2943</v>
      </c>
      <c r="E42" s="691">
        <v>5649</v>
      </c>
      <c r="F42" s="691">
        <v>5834</v>
      </c>
      <c r="G42" s="691">
        <v>4973</v>
      </c>
      <c r="H42" s="692">
        <f>+SUM([21]A09!$E$37:$L$37)+SUM([22]A09!$E$37:$L$37)</f>
        <v>3316</v>
      </c>
    </row>
    <row r="43" spans="1:11">
      <c r="A43" s="254" t="s">
        <v>921</v>
      </c>
      <c r="B43" s="303" t="s">
        <v>1054</v>
      </c>
      <c r="C43" s="690">
        <v>1529</v>
      </c>
      <c r="D43" s="691">
        <v>1678</v>
      </c>
      <c r="E43" s="691">
        <v>2148</v>
      </c>
      <c r="F43" s="691">
        <v>2685</v>
      </c>
      <c r="G43" s="691">
        <v>3341</v>
      </c>
      <c r="H43" s="692">
        <f>+SUM([23]A09!$E$37:$L$37)+SUM([25]A09!$E$37:$L$37)</f>
        <v>3736</v>
      </c>
    </row>
    <row r="44" spans="1:11">
      <c r="A44" s="254"/>
      <c r="B44" s="303" t="s">
        <v>429</v>
      </c>
      <c r="C44" s="690"/>
      <c r="D44" s="691"/>
      <c r="E44" s="691"/>
      <c r="F44" s="691">
        <v>653</v>
      </c>
      <c r="G44" s="691">
        <v>667</v>
      </c>
      <c r="H44" s="692">
        <f>+SUM([24]A09!$E$37:$L$37)</f>
        <v>1090</v>
      </c>
    </row>
    <row r="45" spans="1:11">
      <c r="A45" s="254" t="s">
        <v>687</v>
      </c>
      <c r="B45" s="303" t="s">
        <v>1055</v>
      </c>
      <c r="C45" s="690">
        <v>1360</v>
      </c>
      <c r="D45" s="691">
        <v>892</v>
      </c>
      <c r="E45" s="691">
        <v>794</v>
      </c>
      <c r="F45" s="691">
        <v>1656</v>
      </c>
      <c r="G45" s="691">
        <v>2245</v>
      </c>
      <c r="H45" s="692">
        <f>+SUM([37]A09!$E$37:$L$37)</f>
        <v>1857</v>
      </c>
      <c r="I45" s="693"/>
      <c r="J45" s="1071"/>
      <c r="K45" s="693"/>
    </row>
    <row r="46" spans="1:11">
      <c r="A46" s="254" t="s">
        <v>688</v>
      </c>
      <c r="B46" s="303" t="s">
        <v>902</v>
      </c>
      <c r="C46" s="690">
        <v>5763</v>
      </c>
      <c r="D46" s="691">
        <v>7253</v>
      </c>
      <c r="E46" s="691">
        <v>6687</v>
      </c>
      <c r="F46" s="691">
        <v>4467</v>
      </c>
      <c r="G46" s="691">
        <v>3527</v>
      </c>
      <c r="H46" s="692">
        <f>+SUM([26]A09!$E$37:$L$37)</f>
        <v>4297</v>
      </c>
      <c r="I46" s="693"/>
      <c r="J46" s="1071"/>
      <c r="K46" s="693"/>
    </row>
    <row r="47" spans="1:11">
      <c r="A47" s="254" t="s">
        <v>689</v>
      </c>
      <c r="B47" s="303" t="s">
        <v>1056</v>
      </c>
      <c r="C47" s="690">
        <v>1713</v>
      </c>
      <c r="D47" s="691">
        <v>835</v>
      </c>
      <c r="E47" s="691">
        <v>451</v>
      </c>
      <c r="F47" s="691">
        <v>1896</v>
      </c>
      <c r="G47" s="691">
        <v>2112</v>
      </c>
      <c r="H47" s="692">
        <f>+SUM([27]A09!$E$37:$L$37)</f>
        <v>2182</v>
      </c>
    </row>
    <row r="48" spans="1:11">
      <c r="A48" s="254"/>
      <c r="B48" s="303" t="s">
        <v>1337</v>
      </c>
      <c r="C48" s="197"/>
      <c r="D48" s="197"/>
      <c r="E48" s="197"/>
      <c r="F48" s="197"/>
      <c r="G48" s="691">
        <v>800</v>
      </c>
      <c r="H48" s="692">
        <f>+SUM([28]A09!$E$37:$L$37)</f>
        <v>640</v>
      </c>
    </row>
    <row r="49" spans="1:11">
      <c r="A49" s="688" t="s">
        <v>690</v>
      </c>
      <c r="B49" s="306"/>
      <c r="C49" s="694">
        <f>SUM(C31:C47)</f>
        <v>50617</v>
      </c>
      <c r="D49" s="694">
        <f>SUM(D31:D47)</f>
        <v>51794</v>
      </c>
      <c r="E49" s="694">
        <f>SUM(E31:E47)</f>
        <v>62149</v>
      </c>
      <c r="F49" s="694">
        <f>SUM(F31:F47)</f>
        <v>71330</v>
      </c>
      <c r="G49" s="694">
        <f>SUM(G31:G48)</f>
        <v>74487</v>
      </c>
      <c r="H49" s="694">
        <f>SUM(H31:H48)</f>
        <v>69052</v>
      </c>
      <c r="J49" s="119"/>
      <c r="K49" s="119"/>
    </row>
    <row r="51" spans="1:11" ht="27.75" customHeight="1">
      <c r="A51" s="1286" t="s">
        <v>16</v>
      </c>
      <c r="B51" s="1286"/>
      <c r="C51" s="1286"/>
      <c r="D51" s="1286"/>
      <c r="E51" s="1286"/>
      <c r="F51" s="1286"/>
      <c r="G51" s="1286"/>
      <c r="H51" s="1286"/>
    </row>
    <row r="52" spans="1:11">
      <c r="A52" s="1275" t="s">
        <v>17</v>
      </c>
      <c r="B52" s="1275"/>
      <c r="C52" s="1275"/>
      <c r="D52" s="1275"/>
      <c r="E52" s="1275"/>
      <c r="F52" s="1275"/>
      <c r="G52" s="1275"/>
      <c r="H52" s="1275"/>
    </row>
    <row r="53" spans="1:11">
      <c r="A53" s="1276" t="s">
        <v>1462</v>
      </c>
      <c r="B53" s="1276"/>
      <c r="C53" s="1276"/>
      <c r="D53" s="1276"/>
      <c r="E53" s="1276"/>
      <c r="F53" s="1276"/>
      <c r="G53" s="1276"/>
      <c r="H53" s="1276"/>
    </row>
    <row r="54" spans="1:11">
      <c r="A54" s="1"/>
      <c r="B54" s="1"/>
      <c r="C54" s="1"/>
    </row>
    <row r="55" spans="1:11">
      <c r="A55" s="1"/>
      <c r="B55" s="1"/>
      <c r="C55" s="1"/>
    </row>
    <row r="56" spans="1:11">
      <c r="A56" s="1"/>
      <c r="B56" s="1"/>
      <c r="C56" s="1"/>
    </row>
    <row r="57" spans="1:11">
      <c r="A57" s="1"/>
      <c r="B57" s="1"/>
      <c r="C57" s="1"/>
    </row>
    <row r="60" spans="1:11" ht="31.5" customHeight="1">
      <c r="A60" s="120" t="s">
        <v>1290</v>
      </c>
      <c r="B60" s="683" t="s">
        <v>18</v>
      </c>
      <c r="C60" s="225">
        <f t="shared" ref="C60:H60" si="1">+C29</f>
        <v>2009</v>
      </c>
      <c r="D60" s="225">
        <f t="shared" si="1"/>
        <v>2010</v>
      </c>
      <c r="E60" s="225">
        <f t="shared" si="1"/>
        <v>2011</v>
      </c>
      <c r="F60" s="225">
        <f t="shared" si="1"/>
        <v>2012</v>
      </c>
      <c r="G60" s="225">
        <f t="shared" si="1"/>
        <v>2013</v>
      </c>
      <c r="H60" s="225">
        <f t="shared" si="1"/>
        <v>2014</v>
      </c>
    </row>
    <row r="61" spans="1:11" s="6" customFormat="1" ht="27.75" customHeight="1">
      <c r="A61" s="254" t="s">
        <v>1022</v>
      </c>
      <c r="B61" s="303" t="s">
        <v>11</v>
      </c>
      <c r="C61" s="695">
        <f t="shared" ref="C61:H62" si="2">+C31/C7*100</f>
        <v>23.505308251070964</v>
      </c>
      <c r="D61" s="695">
        <f t="shared" si="2"/>
        <v>24.397478680014832</v>
      </c>
      <c r="E61" s="695">
        <f t="shared" si="2"/>
        <v>38.770586384139307</v>
      </c>
      <c r="F61" s="695">
        <f t="shared" si="2"/>
        <v>51.428272470440518</v>
      </c>
      <c r="G61" s="695">
        <f t="shared" si="2"/>
        <v>51.672083027571027</v>
      </c>
      <c r="H61" s="695">
        <f t="shared" si="2"/>
        <v>41.589668206635864</v>
      </c>
    </row>
    <row r="62" spans="1:11" s="6" customFormat="1" ht="27.75" customHeight="1">
      <c r="A62" s="254"/>
      <c r="B62" s="303" t="s">
        <v>1047</v>
      </c>
      <c r="C62" s="695">
        <f t="shared" si="2"/>
        <v>70.070106057882441</v>
      </c>
      <c r="D62" s="695">
        <f t="shared" si="2"/>
        <v>79.474769203190817</v>
      </c>
      <c r="E62" s="695">
        <f t="shared" si="2"/>
        <v>25.30109653064893</v>
      </c>
      <c r="F62" s="695">
        <f t="shared" si="2"/>
        <v>48.322147651006716</v>
      </c>
      <c r="G62" s="695">
        <f t="shared" si="2"/>
        <v>39.047789832332107</v>
      </c>
      <c r="H62" s="695">
        <f t="shared" si="2"/>
        <v>38.452552120776417</v>
      </c>
    </row>
    <row r="63" spans="1:11" s="6" customFormat="1" ht="27.75" customHeight="1">
      <c r="A63" s="254"/>
      <c r="B63" s="303" t="s">
        <v>428</v>
      </c>
      <c r="C63" s="695"/>
      <c r="D63" s="695"/>
      <c r="E63" s="695"/>
      <c r="F63" s="695"/>
      <c r="G63" s="695">
        <f t="shared" ref="G63:H69" si="3">+G33/G9*100</f>
        <v>83.193979933110356</v>
      </c>
      <c r="H63" s="695">
        <f t="shared" si="3"/>
        <v>92.881072026800666</v>
      </c>
    </row>
    <row r="64" spans="1:11" s="6" customFormat="1" ht="27.75" customHeight="1">
      <c r="A64" s="254" t="s">
        <v>682</v>
      </c>
      <c r="B64" s="303" t="s">
        <v>12</v>
      </c>
      <c r="C64" s="695">
        <f>+C34/C10*100</f>
        <v>24.489795918367346</v>
      </c>
      <c r="D64" s="695">
        <f>+D34/D10*100</f>
        <v>39.366073175503814</v>
      </c>
      <c r="E64" s="695">
        <f>+E34/E10*100</f>
        <v>69.717893075557313</v>
      </c>
      <c r="F64" s="695">
        <f>+F34/F10*100</f>
        <v>69.598089932351769</v>
      </c>
      <c r="G64" s="695">
        <f>+G34/G10*100</f>
        <v>86.021505376344081</v>
      </c>
      <c r="H64" s="695">
        <f t="shared" si="3"/>
        <v>82.715114812011109</v>
      </c>
    </row>
    <row r="65" spans="1:8" s="6" customFormat="1" ht="27.75" customHeight="1">
      <c r="A65" s="254"/>
      <c r="B65" s="303" t="s">
        <v>1377</v>
      </c>
      <c r="C65" s="695"/>
      <c r="D65" s="695"/>
      <c r="E65" s="695"/>
      <c r="F65" s="695"/>
      <c r="G65" s="695">
        <f t="shared" si="3"/>
        <v>135.16819571865443</v>
      </c>
      <c r="H65" s="695">
        <f t="shared" si="3"/>
        <v>109.84615384615384</v>
      </c>
    </row>
    <row r="66" spans="1:8" s="6" customFormat="1" ht="27.75" customHeight="1">
      <c r="A66" s="254" t="s">
        <v>919</v>
      </c>
      <c r="B66" s="303" t="s">
        <v>1049</v>
      </c>
      <c r="C66" s="695">
        <f t="shared" ref="C66:G68" si="4">+C36/C12*100</f>
        <v>103.7090281771133</v>
      </c>
      <c r="D66" s="695">
        <f t="shared" si="4"/>
        <v>160.81716637272191</v>
      </c>
      <c r="E66" s="695">
        <f t="shared" si="4"/>
        <v>143.93667861409799</v>
      </c>
      <c r="F66" s="695">
        <f t="shared" si="4"/>
        <v>121.22871046228711</v>
      </c>
      <c r="G66" s="695">
        <f t="shared" si="4"/>
        <v>154.31487782245591</v>
      </c>
      <c r="H66" s="695">
        <f t="shared" si="3"/>
        <v>104.03276622558286</v>
      </c>
    </row>
    <row r="67" spans="1:8" s="6" customFormat="1" ht="27.75" customHeight="1">
      <c r="A67" s="254" t="s">
        <v>683</v>
      </c>
      <c r="B67" s="303" t="s">
        <v>1050</v>
      </c>
      <c r="C67" s="695">
        <f t="shared" si="4"/>
        <v>124.32319866722199</v>
      </c>
      <c r="D67" s="695">
        <f t="shared" si="4"/>
        <v>223.45002108814845</v>
      </c>
      <c r="E67" s="695">
        <f t="shared" si="4"/>
        <v>225.71306939123033</v>
      </c>
      <c r="F67" s="695">
        <f t="shared" si="4"/>
        <v>403.52082438814944</v>
      </c>
      <c r="G67" s="695">
        <f t="shared" si="4"/>
        <v>409.66623320329438</v>
      </c>
      <c r="H67" s="695">
        <f t="shared" si="3"/>
        <v>228.39020122484689</v>
      </c>
    </row>
    <row r="68" spans="1:8" s="6" customFormat="1" ht="27.75" customHeight="1">
      <c r="A68" s="254" t="s">
        <v>684</v>
      </c>
      <c r="B68" s="303" t="s">
        <v>895</v>
      </c>
      <c r="C68" s="695">
        <f t="shared" si="4"/>
        <v>77.95660360441137</v>
      </c>
      <c r="D68" s="695">
        <f t="shared" si="4"/>
        <v>114.4678492239468</v>
      </c>
      <c r="E68" s="695">
        <f t="shared" si="4"/>
        <v>113.46242935235801</v>
      </c>
      <c r="F68" s="695">
        <f t="shared" si="4"/>
        <v>87.846775675179131</v>
      </c>
      <c r="G68" s="695">
        <f t="shared" si="4"/>
        <v>89.018777614138429</v>
      </c>
      <c r="H68" s="695">
        <f t="shared" si="3"/>
        <v>78.49303698238495</v>
      </c>
    </row>
    <row r="69" spans="1:8" s="6" customFormat="1" ht="27.75" customHeight="1">
      <c r="A69" s="254"/>
      <c r="B69" s="303" t="s">
        <v>696</v>
      </c>
      <c r="C69" s="695"/>
      <c r="D69" s="695"/>
      <c r="E69" s="695"/>
      <c r="F69" s="695"/>
      <c r="G69" s="695">
        <f>+G39/G15*100</f>
        <v>123.78114313629702</v>
      </c>
      <c r="H69" s="695">
        <f t="shared" si="3"/>
        <v>153.3405172413793</v>
      </c>
    </row>
    <row r="70" spans="1:8" s="6" customFormat="1" ht="27.75" customHeight="1">
      <c r="A70" s="254"/>
      <c r="B70" s="303" t="s">
        <v>897</v>
      </c>
      <c r="C70" s="695">
        <f t="shared" ref="C70:H72" si="5">+C41/C17*100</f>
        <v>64.978354978354986</v>
      </c>
      <c r="D70" s="695">
        <f t="shared" si="5"/>
        <v>66.886253842775574</v>
      </c>
      <c r="E70" s="695">
        <f t="shared" si="5"/>
        <v>78.164975738861926</v>
      </c>
      <c r="F70" s="695">
        <f t="shared" si="5"/>
        <v>116.57458563535911</v>
      </c>
      <c r="G70" s="695">
        <f t="shared" si="5"/>
        <v>148.98617511520737</v>
      </c>
      <c r="H70" s="695">
        <f t="shared" si="5"/>
        <v>181.45756457564573</v>
      </c>
    </row>
    <row r="71" spans="1:8" s="6" customFormat="1" ht="27.75" customHeight="1">
      <c r="A71" s="254" t="s">
        <v>685</v>
      </c>
      <c r="B71" s="303" t="s">
        <v>1053</v>
      </c>
      <c r="C71" s="695">
        <f t="shared" si="5"/>
        <v>60.075329566854997</v>
      </c>
      <c r="D71" s="695">
        <f t="shared" si="5"/>
        <v>55.654311649016641</v>
      </c>
      <c r="E71" s="695">
        <f t="shared" si="5"/>
        <v>107.3342200266008</v>
      </c>
      <c r="F71" s="695">
        <f t="shared" si="5"/>
        <v>111.39965629177009</v>
      </c>
      <c r="G71" s="695">
        <f t="shared" si="5"/>
        <v>95.414428242517275</v>
      </c>
      <c r="H71" s="695">
        <f t="shared" si="5"/>
        <v>63.929053402737615</v>
      </c>
    </row>
    <row r="72" spans="1:8" s="6" customFormat="1" ht="27.75" customHeight="1">
      <c r="A72" s="254" t="s">
        <v>921</v>
      </c>
      <c r="B72" s="303" t="s">
        <v>1054</v>
      </c>
      <c r="C72" s="695">
        <f t="shared" si="5"/>
        <v>32.636072572038422</v>
      </c>
      <c r="D72" s="695">
        <f t="shared" si="5"/>
        <v>36.140426448416974</v>
      </c>
      <c r="E72" s="695">
        <f t="shared" si="5"/>
        <v>52.56975036710719</v>
      </c>
      <c r="F72" s="695">
        <f t="shared" si="5"/>
        <v>66.312669795011118</v>
      </c>
      <c r="G72" s="695">
        <f t="shared" si="5"/>
        <v>83.026838966202789</v>
      </c>
      <c r="H72" s="695">
        <f t="shared" si="5"/>
        <v>93.493493493493503</v>
      </c>
    </row>
    <row r="73" spans="1:8" s="6" customFormat="1" ht="27.75" customHeight="1">
      <c r="A73" s="254"/>
      <c r="B73" s="303" t="s">
        <v>429</v>
      </c>
      <c r="C73" s="695"/>
      <c r="D73" s="695"/>
      <c r="E73" s="695"/>
      <c r="F73" s="695"/>
      <c r="G73" s="695">
        <f>+G44/G20*100</f>
        <v>125.6120527306968</v>
      </c>
      <c r="H73" s="695">
        <f>+H44/H20*100</f>
        <v>205.27306967984936</v>
      </c>
    </row>
    <row r="74" spans="1:8" s="6" customFormat="1" ht="27.75" customHeight="1">
      <c r="A74" s="254" t="s">
        <v>687</v>
      </c>
      <c r="B74" s="303" t="s">
        <v>1055</v>
      </c>
      <c r="C74" s="695">
        <f t="shared" ref="C74:G76" si="6">+C45/C21*100</f>
        <v>55.71487095452683</v>
      </c>
      <c r="D74" s="695">
        <f t="shared" si="6"/>
        <v>37.027812370278127</v>
      </c>
      <c r="E74" s="695">
        <f t="shared" si="6"/>
        <v>33.305369127516776</v>
      </c>
      <c r="F74" s="695">
        <f t="shared" si="6"/>
        <v>70.080406263224717</v>
      </c>
      <c r="G74" s="695">
        <f t="shared" si="6"/>
        <v>95.899188381033753</v>
      </c>
      <c r="H74" s="695">
        <f>+H45/H21*100</f>
        <v>80.077619663648122</v>
      </c>
    </row>
    <row r="75" spans="1:8" s="6" customFormat="1" ht="27.75" customHeight="1">
      <c r="A75" s="254" t="s">
        <v>688</v>
      </c>
      <c r="B75" s="303" t="s">
        <v>902</v>
      </c>
      <c r="C75" s="695">
        <f t="shared" si="6"/>
        <v>77.741804937272363</v>
      </c>
      <c r="D75" s="695">
        <f t="shared" si="6"/>
        <v>99.465167306637412</v>
      </c>
      <c r="E75" s="695">
        <f t="shared" si="6"/>
        <v>92.913714047519804</v>
      </c>
      <c r="F75" s="695">
        <f t="shared" si="6"/>
        <v>62.924355543034224</v>
      </c>
      <c r="G75" s="695">
        <f t="shared" si="6"/>
        <v>50.349750178443962</v>
      </c>
      <c r="H75" s="695">
        <f>+H46/H22*100</f>
        <v>62.185238784370476</v>
      </c>
    </row>
    <row r="76" spans="1:8" s="6" customFormat="1" ht="27.75" customHeight="1">
      <c r="A76" s="254" t="s">
        <v>689</v>
      </c>
      <c r="B76" s="303" t="s">
        <v>1056</v>
      </c>
      <c r="C76" s="695">
        <f t="shared" si="6"/>
        <v>40.756602426837972</v>
      </c>
      <c r="D76" s="695">
        <f t="shared" si="6"/>
        <v>20.130183220829316</v>
      </c>
      <c r="E76" s="695">
        <f t="shared" si="6"/>
        <v>11.002683581361309</v>
      </c>
      <c r="F76" s="695">
        <f t="shared" si="6"/>
        <v>46.872682323856615</v>
      </c>
      <c r="G76" s="695">
        <f t="shared" si="6"/>
        <v>59.04389152921442</v>
      </c>
      <c r="H76" s="695">
        <f>+H47/H23*100</f>
        <v>61.830546897137992</v>
      </c>
    </row>
    <row r="77" spans="1:8" s="6" customFormat="1" ht="27.75" customHeight="1">
      <c r="A77" s="254"/>
      <c r="B77" s="303" t="s">
        <v>1337</v>
      </c>
      <c r="C77" s="695"/>
      <c r="D77" s="695"/>
      <c r="E77" s="695"/>
      <c r="F77" s="695"/>
      <c r="G77" s="695">
        <f>+G48/G24*100</f>
        <v>190.47619047619045</v>
      </c>
      <c r="H77" s="695">
        <f>+H48/H24*100</f>
        <v>152.38095238095238</v>
      </c>
    </row>
    <row r="78" spans="1:8" s="6" customFormat="1" ht="27.75" customHeight="1">
      <c r="A78" s="306" t="s">
        <v>690</v>
      </c>
      <c r="B78" s="306"/>
      <c r="C78" s="696">
        <f t="shared" ref="C78:H78" si="7">+C49/C25*100</f>
        <v>62.064103192898138</v>
      </c>
      <c r="D78" s="696">
        <f t="shared" si="7"/>
        <v>63.806930876030208</v>
      </c>
      <c r="E78" s="696">
        <f t="shared" si="7"/>
        <v>76.962799682979991</v>
      </c>
      <c r="F78" s="696">
        <f t="shared" si="7"/>
        <v>88.759752622475517</v>
      </c>
      <c r="G78" s="696">
        <f t="shared" si="7"/>
        <v>93.189125620847975</v>
      </c>
      <c r="H78" s="696">
        <f t="shared" si="7"/>
        <v>86.860046793630033</v>
      </c>
    </row>
    <row r="79" spans="1:8">
      <c r="A79" s="629" t="s">
        <v>19</v>
      </c>
    </row>
    <row r="80" spans="1:8">
      <c r="A80" s="629" t="s">
        <v>20</v>
      </c>
    </row>
    <row r="81" spans="1:1">
      <c r="A81" s="629" t="s">
        <v>21</v>
      </c>
    </row>
    <row r="82" spans="1:1">
      <c r="A82" s="629" t="s">
        <v>22</v>
      </c>
    </row>
    <row r="83" spans="1:1">
      <c r="A83" s="629" t="s">
        <v>23</v>
      </c>
    </row>
    <row r="84" spans="1:1">
      <c r="A84" s="629"/>
    </row>
  </sheetData>
  <mergeCells count="3">
    <mergeCell ref="A51:H51"/>
    <mergeCell ref="A52:H52"/>
    <mergeCell ref="A53:H53"/>
  </mergeCells>
  <phoneticPr fontId="19" type="noConversion"/>
  <pageMargins left="1.1811023622047245" right="0.39370078740157483" top="0.98425196850393704" bottom="0.98425196850393704" header="0.51181102362204722" footer="0.51181102362204722"/>
  <pageSetup paperSize="5" scale="90" orientation="portrait" horizontalDpi="300" verticalDpi="300" r:id="rId1"/>
  <headerFooter alignWithMargins="0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78"/>
  <sheetViews>
    <sheetView zoomScale="75" workbookViewId="0">
      <selection activeCell="N55" sqref="N55"/>
    </sheetView>
  </sheetViews>
  <sheetFormatPr baseColWidth="10" defaultRowHeight="12.75"/>
  <cols>
    <col min="1" max="1" width="16" customWidth="1"/>
    <col min="2" max="2" width="14.5703125" customWidth="1"/>
    <col min="3" max="3" width="11.140625" customWidth="1"/>
    <col min="4" max="4" width="10.42578125" customWidth="1"/>
    <col min="5" max="6" width="10.5703125" customWidth="1"/>
    <col min="7" max="7" width="10.7109375" customWidth="1"/>
    <col min="8" max="9" width="9" customWidth="1"/>
    <col min="11" max="11" width="9.85546875" customWidth="1"/>
  </cols>
  <sheetData>
    <row r="1" spans="1:14">
      <c r="A1" s="83" t="s">
        <v>24</v>
      </c>
      <c r="B1" s="117"/>
      <c r="C1" s="117"/>
      <c r="D1" s="117"/>
      <c r="E1" s="117"/>
      <c r="F1" s="117"/>
      <c r="G1" s="117"/>
      <c r="H1" s="117"/>
      <c r="I1" s="117"/>
      <c r="J1" s="117"/>
      <c r="K1" s="1"/>
    </row>
    <row r="2" spans="1:14">
      <c r="A2" s="83"/>
      <c r="B2" s="117"/>
      <c r="C2" s="117"/>
      <c r="D2" s="117"/>
      <c r="E2" s="117"/>
      <c r="F2" s="117"/>
      <c r="G2" s="117"/>
      <c r="H2" s="117"/>
      <c r="I2" s="117"/>
      <c r="J2" s="117"/>
      <c r="K2" s="1"/>
    </row>
    <row r="3" spans="1:14">
      <c r="A3" s="3" t="s">
        <v>1461</v>
      </c>
      <c r="B3" s="117"/>
      <c r="C3" s="117"/>
      <c r="D3" s="117"/>
      <c r="E3" s="117"/>
      <c r="F3" s="117"/>
      <c r="G3" s="117"/>
      <c r="H3" s="117"/>
      <c r="I3" s="117"/>
      <c r="J3" s="117"/>
      <c r="K3" s="1"/>
    </row>
    <row r="6" spans="1:14" ht="19.5" customHeight="1">
      <c r="A6" s="65"/>
      <c r="B6" s="65"/>
      <c r="C6" s="296" t="s">
        <v>25</v>
      </c>
      <c r="D6" s="296"/>
      <c r="E6" s="296"/>
      <c r="F6" s="296"/>
      <c r="G6" s="296"/>
      <c r="H6" s="296"/>
      <c r="I6" s="296"/>
      <c r="J6" s="296"/>
      <c r="K6" s="281"/>
    </row>
    <row r="7" spans="1:14" ht="23.25" customHeight="1">
      <c r="A7" s="697" t="s">
        <v>26</v>
      </c>
      <c r="B7" s="697" t="s">
        <v>27</v>
      </c>
      <c r="C7" s="698" t="s">
        <v>28</v>
      </c>
      <c r="D7" s="699" t="s">
        <v>29</v>
      </c>
      <c r="E7" s="700" t="s">
        <v>30</v>
      </c>
      <c r="F7" s="699" t="s">
        <v>31</v>
      </c>
      <c r="G7" s="700" t="s">
        <v>446</v>
      </c>
      <c r="H7" s="701" t="s">
        <v>32</v>
      </c>
      <c r="I7" s="701" t="s">
        <v>33</v>
      </c>
      <c r="J7" s="702" t="s">
        <v>1401</v>
      </c>
      <c r="K7" s="302" t="s">
        <v>706</v>
      </c>
    </row>
    <row r="8" spans="1:14" ht="16.5" customHeight="1">
      <c r="A8" s="685"/>
      <c r="B8" s="685" t="s">
        <v>34</v>
      </c>
      <c r="C8" s="703">
        <v>20785</v>
      </c>
      <c r="D8" s="704">
        <v>15837</v>
      </c>
      <c r="E8" s="703">
        <v>11247</v>
      </c>
      <c r="F8" s="704">
        <v>4749</v>
      </c>
      <c r="G8" s="703">
        <v>7</v>
      </c>
      <c r="H8" s="705">
        <v>9543</v>
      </c>
      <c r="I8" s="705">
        <v>7879</v>
      </c>
      <c r="J8" s="704">
        <f>56+8448</f>
        <v>8504</v>
      </c>
      <c r="K8" s="706">
        <f>SUM(C8:J8)</f>
        <v>78551</v>
      </c>
      <c r="M8" s="119"/>
      <c r="N8" s="119"/>
    </row>
    <row r="9" spans="1:14" ht="16.5" customHeight="1">
      <c r="A9" s="303" t="s">
        <v>955</v>
      </c>
      <c r="B9" s="303" t="s">
        <v>35</v>
      </c>
      <c r="C9" s="162">
        <v>10115</v>
      </c>
      <c r="D9" s="163">
        <v>12976</v>
      </c>
      <c r="E9" s="162">
        <v>8012</v>
      </c>
      <c r="F9" s="163">
        <v>4614</v>
      </c>
      <c r="G9" s="162">
        <v>429</v>
      </c>
      <c r="H9" s="707">
        <v>4789</v>
      </c>
      <c r="I9" s="707">
        <v>4581</v>
      </c>
      <c r="J9" s="163">
        <f>7+4697</f>
        <v>4704</v>
      </c>
      <c r="K9" s="164">
        <f>SUM(C9:J9)</f>
        <v>50220</v>
      </c>
      <c r="M9" s="119"/>
      <c r="N9" s="119"/>
    </row>
    <row r="10" spans="1:14" ht="16.5" customHeight="1">
      <c r="A10" s="196"/>
      <c r="B10" s="303" t="s">
        <v>36</v>
      </c>
      <c r="C10" s="162">
        <v>10164</v>
      </c>
      <c r="D10" s="163">
        <v>9589</v>
      </c>
      <c r="E10" s="162"/>
      <c r="F10" s="163"/>
      <c r="G10" s="162"/>
      <c r="H10" s="707"/>
      <c r="I10" s="707"/>
      <c r="J10" s="163"/>
      <c r="K10" s="164">
        <f>SUM(C10:J10)</f>
        <v>19753</v>
      </c>
      <c r="M10" s="119"/>
      <c r="N10" s="119"/>
    </row>
    <row r="11" spans="1:14" ht="16.5" customHeight="1">
      <c r="A11" s="303"/>
      <c r="B11" s="303" t="s">
        <v>37</v>
      </c>
      <c r="C11" s="162">
        <v>29944</v>
      </c>
      <c r="D11" s="163">
        <v>38650</v>
      </c>
      <c r="E11" s="162">
        <v>25005</v>
      </c>
      <c r="F11" s="163">
        <v>12012</v>
      </c>
      <c r="G11" s="162">
        <v>2878</v>
      </c>
      <c r="H11" s="707">
        <v>13886</v>
      </c>
      <c r="I11" s="707">
        <v>13133</v>
      </c>
      <c r="J11" s="163">
        <f>51+15222</f>
        <v>15273</v>
      </c>
      <c r="K11" s="164">
        <f>SUM(C11:J11)</f>
        <v>150781</v>
      </c>
      <c r="M11" s="119"/>
      <c r="N11" s="119"/>
    </row>
    <row r="12" spans="1:14" ht="16.5" customHeight="1">
      <c r="A12" s="303"/>
      <c r="B12" s="303" t="s">
        <v>38</v>
      </c>
      <c r="C12" s="162">
        <v>9750</v>
      </c>
      <c r="D12" s="163">
        <v>11155</v>
      </c>
      <c r="E12" s="162">
        <v>5478</v>
      </c>
      <c r="F12" s="163">
        <v>3360</v>
      </c>
      <c r="G12" s="162">
        <v>296</v>
      </c>
      <c r="H12" s="707">
        <v>2633</v>
      </c>
      <c r="I12" s="707">
        <v>1695</v>
      </c>
      <c r="J12" s="163">
        <f>47+3567</f>
        <v>3614</v>
      </c>
      <c r="K12" s="164">
        <f>SUM(C12:J12)</f>
        <v>37981</v>
      </c>
      <c r="M12" s="119"/>
      <c r="N12" s="119"/>
    </row>
    <row r="13" spans="1:14" ht="16.5" customHeight="1">
      <c r="A13" s="306"/>
      <c r="B13" s="306" t="s">
        <v>819</v>
      </c>
      <c r="C13" s="167">
        <f>SUM(C8:C12)</f>
        <v>80758</v>
      </c>
      <c r="D13" s="167">
        <f t="shared" ref="D13:K13" si="0">SUM(D8:D12)</f>
        <v>88207</v>
      </c>
      <c r="E13" s="167">
        <f t="shared" si="0"/>
        <v>49742</v>
      </c>
      <c r="F13" s="167">
        <f t="shared" si="0"/>
        <v>24735</v>
      </c>
      <c r="G13" s="708">
        <f t="shared" si="0"/>
        <v>3610</v>
      </c>
      <c r="H13" s="708">
        <f t="shared" si="0"/>
        <v>30851</v>
      </c>
      <c r="I13" s="708">
        <f t="shared" si="0"/>
        <v>27288</v>
      </c>
      <c r="J13" s="167">
        <f t="shared" si="0"/>
        <v>32095</v>
      </c>
      <c r="K13" s="167">
        <f t="shared" si="0"/>
        <v>337286</v>
      </c>
      <c r="M13" s="119"/>
    </row>
    <row r="14" spans="1:14" ht="16.5" customHeight="1">
      <c r="A14" s="254"/>
      <c r="B14" s="303" t="s">
        <v>34</v>
      </c>
      <c r="C14" s="162"/>
      <c r="D14" s="163"/>
      <c r="E14" s="162"/>
      <c r="F14" s="163"/>
      <c r="G14" s="162"/>
      <c r="H14" s="707"/>
      <c r="I14" s="707"/>
      <c r="J14" s="704">
        <v>6</v>
      </c>
      <c r="K14" s="164">
        <f>SUM(C14:J14)</f>
        <v>6</v>
      </c>
    </row>
    <row r="15" spans="1:14" ht="16.5" customHeight="1">
      <c r="A15" s="254"/>
      <c r="B15" s="303" t="s">
        <v>35</v>
      </c>
      <c r="C15" s="162"/>
      <c r="D15" s="163"/>
      <c r="E15" s="162"/>
      <c r="F15" s="163"/>
      <c r="G15" s="162"/>
      <c r="H15" s="707"/>
      <c r="I15" s="707"/>
      <c r="J15" s="163">
        <v>4</v>
      </c>
      <c r="K15" s="164">
        <f>SUM(C15:J15)</f>
        <v>4</v>
      </c>
    </row>
    <row r="16" spans="1:14" ht="16.5" customHeight="1">
      <c r="A16" s="254" t="s">
        <v>39</v>
      </c>
      <c r="B16" s="303" t="s">
        <v>36</v>
      </c>
      <c r="C16" s="162"/>
      <c r="D16" s="163"/>
      <c r="E16" s="162"/>
      <c r="F16" s="163"/>
      <c r="G16" s="162"/>
      <c r="H16" s="707"/>
      <c r="I16" s="707"/>
      <c r="J16" s="163"/>
      <c r="K16" s="164">
        <f>SUM(C16:J16)</f>
        <v>0</v>
      </c>
    </row>
    <row r="17" spans="1:11" ht="16.5" customHeight="1">
      <c r="A17" s="254"/>
      <c r="B17" s="303" t="s">
        <v>37</v>
      </c>
      <c r="C17" s="162"/>
      <c r="D17" s="163"/>
      <c r="E17" s="162"/>
      <c r="F17" s="163"/>
      <c r="G17" s="162"/>
      <c r="H17" s="707"/>
      <c r="I17" s="707">
        <v>1</v>
      </c>
      <c r="J17" s="163">
        <f>350+42</f>
        <v>392</v>
      </c>
      <c r="K17" s="164">
        <f>SUM(C17:J17)</f>
        <v>393</v>
      </c>
    </row>
    <row r="18" spans="1:11" ht="16.5" customHeight="1">
      <c r="A18" s="254"/>
      <c r="B18" s="303" t="s">
        <v>38</v>
      </c>
      <c r="C18" s="162"/>
      <c r="D18" s="163"/>
      <c r="E18" s="162"/>
      <c r="F18" s="163"/>
      <c r="G18" s="162"/>
      <c r="H18" s="707"/>
      <c r="I18" s="707"/>
      <c r="J18" s="163">
        <f>402+33</f>
        <v>435</v>
      </c>
      <c r="K18" s="164">
        <f>SUM(C18:J18)</f>
        <v>435</v>
      </c>
    </row>
    <row r="19" spans="1:11" ht="16.5" customHeight="1">
      <c r="A19" s="254"/>
      <c r="B19" s="306" t="s">
        <v>819</v>
      </c>
      <c r="C19" s="167">
        <f t="shared" ref="C19:K19" si="1">SUM(C14:C18)</f>
        <v>0</v>
      </c>
      <c r="D19" s="167">
        <f t="shared" si="1"/>
        <v>0</v>
      </c>
      <c r="E19" s="167">
        <f t="shared" si="1"/>
        <v>0</v>
      </c>
      <c r="F19" s="167">
        <f t="shared" si="1"/>
        <v>0</v>
      </c>
      <c r="G19" s="708">
        <f t="shared" si="1"/>
        <v>0</v>
      </c>
      <c r="H19" s="708">
        <f t="shared" si="1"/>
        <v>0</v>
      </c>
      <c r="I19" s="708">
        <f t="shared" si="1"/>
        <v>1</v>
      </c>
      <c r="J19" s="167">
        <f t="shared" si="1"/>
        <v>837</v>
      </c>
      <c r="K19" s="167">
        <f t="shared" si="1"/>
        <v>838</v>
      </c>
    </row>
    <row r="20" spans="1:11" ht="16.5" customHeight="1">
      <c r="A20" s="684"/>
      <c r="B20" s="685" t="s">
        <v>34</v>
      </c>
      <c r="C20" s="703"/>
      <c r="D20" s="704"/>
      <c r="E20" s="703"/>
      <c r="F20" s="704"/>
      <c r="G20" s="703"/>
      <c r="H20" s="705"/>
      <c r="I20" s="705"/>
      <c r="J20" s="704"/>
      <c r="K20" s="706">
        <f>SUM(C20:J20)</f>
        <v>0</v>
      </c>
    </row>
    <row r="21" spans="1:11" ht="16.5" customHeight="1">
      <c r="A21" s="254"/>
      <c r="B21" s="303" t="s">
        <v>35</v>
      </c>
      <c r="C21" s="162"/>
      <c r="D21" s="163"/>
      <c r="E21" s="162"/>
      <c r="F21" s="163"/>
      <c r="G21" s="162"/>
      <c r="H21" s="707"/>
      <c r="I21" s="707"/>
      <c r="J21" s="163"/>
      <c r="K21" s="164">
        <f>SUM(C21:J21)</f>
        <v>0</v>
      </c>
    </row>
    <row r="22" spans="1:11" ht="16.5" customHeight="1">
      <c r="A22" s="254" t="s">
        <v>40</v>
      </c>
      <c r="B22" s="303" t="s">
        <v>36</v>
      </c>
      <c r="C22" s="162"/>
      <c r="D22" s="163"/>
      <c r="E22" s="162"/>
      <c r="F22" s="163"/>
      <c r="G22" s="162"/>
      <c r="H22" s="707"/>
      <c r="I22" s="707"/>
      <c r="J22" s="163"/>
      <c r="K22" s="164">
        <f>SUM(C22:J22)</f>
        <v>0</v>
      </c>
    </row>
    <row r="23" spans="1:11" ht="16.5" customHeight="1">
      <c r="A23" s="254"/>
      <c r="B23" s="303" t="s">
        <v>37</v>
      </c>
      <c r="C23" s="162"/>
      <c r="D23" s="163"/>
      <c r="E23" s="162"/>
      <c r="F23" s="163"/>
      <c r="G23" s="162"/>
      <c r="H23" s="707"/>
      <c r="I23" s="707"/>
      <c r="J23" s="163"/>
      <c r="K23" s="164">
        <f>SUM(C23:J23)</f>
        <v>0</v>
      </c>
    </row>
    <row r="24" spans="1:11" ht="16.5" customHeight="1">
      <c r="A24" s="254"/>
      <c r="B24" s="303" t="s">
        <v>38</v>
      </c>
      <c r="C24" s="162"/>
      <c r="D24" s="163"/>
      <c r="E24" s="162"/>
      <c r="F24" s="163"/>
      <c r="G24" s="162"/>
      <c r="H24" s="707"/>
      <c r="I24" s="707"/>
      <c r="J24" s="163"/>
      <c r="K24" s="164">
        <f>SUM(C24:J24)</f>
        <v>0</v>
      </c>
    </row>
    <row r="25" spans="1:11" ht="16.5" customHeight="1">
      <c r="A25" s="688"/>
      <c r="B25" s="306" t="s">
        <v>819</v>
      </c>
      <c r="C25" s="167">
        <f t="shared" ref="C25:K25" si="2">SUM(C20:C24)</f>
        <v>0</v>
      </c>
      <c r="D25" s="167">
        <f t="shared" si="2"/>
        <v>0</v>
      </c>
      <c r="E25" s="167">
        <f t="shared" si="2"/>
        <v>0</v>
      </c>
      <c r="F25" s="167">
        <f t="shared" si="2"/>
        <v>0</v>
      </c>
      <c r="G25" s="708">
        <f t="shared" si="2"/>
        <v>0</v>
      </c>
      <c r="H25" s="708">
        <f t="shared" si="2"/>
        <v>0</v>
      </c>
      <c r="I25" s="708">
        <f t="shared" si="2"/>
        <v>0</v>
      </c>
      <c r="J25" s="167">
        <f t="shared" si="2"/>
        <v>0</v>
      </c>
      <c r="K25" s="167">
        <f t="shared" si="2"/>
        <v>0</v>
      </c>
    </row>
    <row r="26" spans="1:11" ht="16.5" customHeight="1">
      <c r="A26" s="684"/>
      <c r="B26" s="685" t="s">
        <v>34</v>
      </c>
      <c r="C26" s="703"/>
      <c r="D26" s="704"/>
      <c r="E26" s="703"/>
      <c r="F26" s="704"/>
      <c r="G26" s="703"/>
      <c r="H26" s="705">
        <v>497</v>
      </c>
      <c r="I26" s="705">
        <v>153</v>
      </c>
      <c r="J26" s="704"/>
      <c r="K26" s="706">
        <f>SUM(C26:J26)</f>
        <v>650</v>
      </c>
    </row>
    <row r="27" spans="1:11" ht="16.5" customHeight="1">
      <c r="A27" s="254"/>
      <c r="B27" s="303" t="s">
        <v>35</v>
      </c>
      <c r="C27" s="162"/>
      <c r="D27" s="163"/>
      <c r="E27" s="162"/>
      <c r="F27" s="163"/>
      <c r="G27" s="162"/>
      <c r="H27" s="707">
        <v>3</v>
      </c>
      <c r="I27" s="707">
        <v>1</v>
      </c>
      <c r="J27" s="163"/>
      <c r="K27" s="164">
        <f>SUM(C27:J27)</f>
        <v>4</v>
      </c>
    </row>
    <row r="28" spans="1:11" ht="16.5" customHeight="1">
      <c r="A28" s="254" t="s">
        <v>1344</v>
      </c>
      <c r="B28" s="303" t="s">
        <v>36</v>
      </c>
      <c r="C28" s="162"/>
      <c r="D28" s="163"/>
      <c r="E28" s="162"/>
      <c r="F28" s="163"/>
      <c r="G28" s="162"/>
      <c r="H28" s="707"/>
      <c r="I28" s="707"/>
      <c r="J28" s="163"/>
      <c r="K28" s="164">
        <f>SUM(C28:J28)</f>
        <v>0</v>
      </c>
    </row>
    <row r="29" spans="1:11" ht="16.5" customHeight="1">
      <c r="A29" s="254"/>
      <c r="B29" s="303" t="s">
        <v>37</v>
      </c>
      <c r="C29" s="162"/>
      <c r="D29" s="163"/>
      <c r="E29" s="162"/>
      <c r="F29" s="163"/>
      <c r="G29" s="162"/>
      <c r="H29" s="707"/>
      <c r="I29" s="707">
        <v>4</v>
      </c>
      <c r="J29" s="163"/>
      <c r="K29" s="164">
        <f>SUM(C29:J29)</f>
        <v>4</v>
      </c>
    </row>
    <row r="30" spans="1:11" ht="16.5" customHeight="1">
      <c r="A30" s="254"/>
      <c r="B30" s="303" t="s">
        <v>38</v>
      </c>
      <c r="C30" s="162"/>
      <c r="D30" s="163"/>
      <c r="E30" s="162"/>
      <c r="F30" s="163"/>
      <c r="G30" s="162"/>
      <c r="H30" s="707"/>
      <c r="I30" s="707">
        <v>3</v>
      </c>
      <c r="J30" s="163"/>
      <c r="K30" s="164">
        <f>SUM(C30:J30)</f>
        <v>3</v>
      </c>
    </row>
    <row r="31" spans="1:11" ht="16.5" customHeight="1">
      <c r="A31" s="688"/>
      <c r="B31" s="306" t="s">
        <v>819</v>
      </c>
      <c r="C31" s="167">
        <f t="shared" ref="C31:K31" si="3">SUM(C26:C30)</f>
        <v>0</v>
      </c>
      <c r="D31" s="167">
        <f t="shared" si="3"/>
        <v>0</v>
      </c>
      <c r="E31" s="167">
        <f t="shared" si="3"/>
        <v>0</v>
      </c>
      <c r="F31" s="167">
        <f t="shared" si="3"/>
        <v>0</v>
      </c>
      <c r="G31" s="708">
        <f t="shared" si="3"/>
        <v>0</v>
      </c>
      <c r="H31" s="708">
        <f t="shared" si="3"/>
        <v>500</v>
      </c>
      <c r="I31" s="708">
        <f t="shared" si="3"/>
        <v>161</v>
      </c>
      <c r="J31" s="167">
        <f t="shared" si="3"/>
        <v>0</v>
      </c>
      <c r="K31" s="167">
        <f t="shared" si="3"/>
        <v>661</v>
      </c>
    </row>
    <row r="32" spans="1:11" ht="16.5" customHeight="1">
      <c r="A32" s="254"/>
      <c r="B32" s="303" t="s">
        <v>34</v>
      </c>
      <c r="C32" s="162"/>
      <c r="D32" s="163"/>
      <c r="E32" s="162"/>
      <c r="F32" s="163"/>
      <c r="G32" s="162"/>
      <c r="H32" s="707"/>
      <c r="I32" s="707"/>
      <c r="J32" s="1181">
        <f>1996+166</f>
        <v>2162</v>
      </c>
      <c r="K32" s="164">
        <f>SUM(C32:J32)</f>
        <v>2162</v>
      </c>
    </row>
    <row r="33" spans="1:14" ht="16.5" customHeight="1">
      <c r="A33" s="254"/>
      <c r="B33" s="303" t="s">
        <v>35</v>
      </c>
      <c r="C33" s="162"/>
      <c r="D33" s="163"/>
      <c r="E33" s="162"/>
      <c r="F33" s="163"/>
      <c r="G33" s="162"/>
      <c r="H33" s="707"/>
      <c r="I33" s="707"/>
      <c r="J33" s="1182">
        <f>1162+50</f>
        <v>1212</v>
      </c>
      <c r="K33" s="164">
        <f>SUM(C33:J33)</f>
        <v>1212</v>
      </c>
    </row>
    <row r="34" spans="1:14" ht="16.5" customHeight="1">
      <c r="A34" s="254" t="s">
        <v>41</v>
      </c>
      <c r="B34" s="303" t="s">
        <v>36</v>
      </c>
      <c r="C34" s="162"/>
      <c r="D34" s="163"/>
      <c r="E34" s="162"/>
      <c r="F34" s="163"/>
      <c r="G34" s="162"/>
      <c r="H34" s="707"/>
      <c r="I34" s="707"/>
      <c r="J34" s="163"/>
      <c r="K34" s="164">
        <f>SUM(C34:J34)</f>
        <v>0</v>
      </c>
    </row>
    <row r="35" spans="1:14" ht="16.5" customHeight="1">
      <c r="A35" s="254"/>
      <c r="B35" s="303" t="s">
        <v>37</v>
      </c>
      <c r="C35" s="162"/>
      <c r="D35" s="163"/>
      <c r="E35" s="162"/>
      <c r="F35" s="163"/>
      <c r="G35" s="162"/>
      <c r="H35" s="707"/>
      <c r="I35" s="707"/>
      <c r="J35" s="1182">
        <f>4543+269</f>
        <v>4812</v>
      </c>
      <c r="K35" s="164">
        <f>SUM(C35:J35)</f>
        <v>4812</v>
      </c>
    </row>
    <row r="36" spans="1:14" ht="16.5" customHeight="1">
      <c r="A36" s="254"/>
      <c r="B36" s="303" t="s">
        <v>38</v>
      </c>
      <c r="C36" s="162"/>
      <c r="D36" s="163"/>
      <c r="E36" s="162"/>
      <c r="F36" s="163"/>
      <c r="G36" s="162"/>
      <c r="H36" s="707"/>
      <c r="I36" s="707"/>
      <c r="J36" s="1182">
        <f>2614+340</f>
        <v>2954</v>
      </c>
      <c r="K36" s="164">
        <f>SUM(C36:J36)</f>
        <v>2954</v>
      </c>
    </row>
    <row r="37" spans="1:14" ht="16.5" customHeight="1">
      <c r="A37" s="254"/>
      <c r="B37" s="306" t="s">
        <v>819</v>
      </c>
      <c r="C37" s="167">
        <f t="shared" ref="C37:K37" si="4">SUM(C32:C36)</f>
        <v>0</v>
      </c>
      <c r="D37" s="167">
        <f t="shared" si="4"/>
        <v>0</v>
      </c>
      <c r="E37" s="167">
        <f t="shared" si="4"/>
        <v>0</v>
      </c>
      <c r="F37" s="167">
        <f t="shared" si="4"/>
        <v>0</v>
      </c>
      <c r="G37" s="708">
        <f t="shared" si="4"/>
        <v>0</v>
      </c>
      <c r="H37" s="708">
        <f t="shared" si="4"/>
        <v>0</v>
      </c>
      <c r="I37" s="708">
        <f t="shared" si="4"/>
        <v>0</v>
      </c>
      <c r="J37" s="167">
        <f t="shared" si="4"/>
        <v>11140</v>
      </c>
      <c r="K37" s="167">
        <f t="shared" si="4"/>
        <v>11140</v>
      </c>
    </row>
    <row r="38" spans="1:14" ht="16.5" customHeight="1">
      <c r="A38" s="684"/>
      <c r="B38" s="685" t="s">
        <v>34</v>
      </c>
      <c r="C38" s="703">
        <f t="shared" ref="C38:G39" si="5">+C32+C20+C14+C8</f>
        <v>20785</v>
      </c>
      <c r="D38" s="704">
        <f t="shared" si="5"/>
        <v>15837</v>
      </c>
      <c r="E38" s="703">
        <f t="shared" si="5"/>
        <v>11247</v>
      </c>
      <c r="F38" s="704">
        <f t="shared" si="5"/>
        <v>4749</v>
      </c>
      <c r="G38" s="705">
        <f t="shared" si="5"/>
        <v>7</v>
      </c>
      <c r="H38" s="705">
        <f>+H32+H20+H14+H8+H26</f>
        <v>10040</v>
      </c>
      <c r="I38" s="704">
        <f>+I32+I20+I14+I8+I26</f>
        <v>8032</v>
      </c>
      <c r="J38" s="709">
        <f>+J32+J20+J14+J8</f>
        <v>10672</v>
      </c>
      <c r="K38" s="706">
        <f>SUM(C38:J38)</f>
        <v>81369</v>
      </c>
      <c r="N38" s="157"/>
    </row>
    <row r="39" spans="1:14" ht="16.5" customHeight="1">
      <c r="A39" s="254"/>
      <c r="B39" s="303" t="s">
        <v>35</v>
      </c>
      <c r="C39" s="162">
        <f t="shared" si="5"/>
        <v>10115</v>
      </c>
      <c r="D39" s="163">
        <f t="shared" si="5"/>
        <v>12976</v>
      </c>
      <c r="E39" s="162">
        <f t="shared" si="5"/>
        <v>8012</v>
      </c>
      <c r="F39" s="163">
        <f t="shared" si="5"/>
        <v>4614</v>
      </c>
      <c r="G39" s="707">
        <f t="shared" si="5"/>
        <v>429</v>
      </c>
      <c r="H39" s="163">
        <f>+H33+H21+H15+H9+H27</f>
        <v>4792</v>
      </c>
      <c r="I39" s="163">
        <f>+I33+I21+I15+I9+I27</f>
        <v>4582</v>
      </c>
      <c r="J39" s="165">
        <f>+J33+J21+J15+J9</f>
        <v>5920</v>
      </c>
      <c r="K39" s="164">
        <f>SUM(C39:J39)</f>
        <v>51440</v>
      </c>
      <c r="N39" s="157"/>
    </row>
    <row r="40" spans="1:14" ht="16.5" customHeight="1">
      <c r="A40" s="254" t="s">
        <v>923</v>
      </c>
      <c r="B40" s="303" t="s">
        <v>36</v>
      </c>
      <c r="C40" s="162">
        <f t="shared" ref="C40:F42" si="6">+C34+C22+C16+C10</f>
        <v>10164</v>
      </c>
      <c r="D40" s="163">
        <f t="shared" si="6"/>
        <v>9589</v>
      </c>
      <c r="E40" s="162">
        <f t="shared" si="6"/>
        <v>0</v>
      </c>
      <c r="F40" s="163">
        <f t="shared" si="6"/>
        <v>0</v>
      </c>
      <c r="G40" s="162"/>
      <c r="H40" s="163"/>
      <c r="I40" s="163">
        <f>+I34+I22+I16+I10+I28</f>
        <v>0</v>
      </c>
      <c r="J40" s="165">
        <f>+J34+J22+J16+J10</f>
        <v>0</v>
      </c>
      <c r="K40" s="164">
        <f>SUM(C40:J40)</f>
        <v>19753</v>
      </c>
      <c r="N40" s="157"/>
    </row>
    <row r="41" spans="1:14" ht="16.5" customHeight="1">
      <c r="A41" s="254"/>
      <c r="B41" s="303" t="s">
        <v>37</v>
      </c>
      <c r="C41" s="162">
        <f t="shared" si="6"/>
        <v>29944</v>
      </c>
      <c r="D41" s="163">
        <f t="shared" si="6"/>
        <v>38650</v>
      </c>
      <c r="E41" s="162">
        <f t="shared" si="6"/>
        <v>25005</v>
      </c>
      <c r="F41" s="163">
        <f t="shared" si="6"/>
        <v>12012</v>
      </c>
      <c r="G41" s="162">
        <f>+G35+G23+G17+G11</f>
        <v>2878</v>
      </c>
      <c r="H41" s="163">
        <f>+H35+H23+H17+H11</f>
        <v>13886</v>
      </c>
      <c r="I41" s="163">
        <f>+I35+I23+I17+I11+I29</f>
        <v>13138</v>
      </c>
      <c r="J41" s="165">
        <f>+J35+J23+J17+J11</f>
        <v>20477</v>
      </c>
      <c r="K41" s="164">
        <f>SUM(C41:J41)</f>
        <v>155990</v>
      </c>
      <c r="N41" s="157"/>
    </row>
    <row r="42" spans="1:14" ht="16.5" customHeight="1">
      <c r="A42" s="254"/>
      <c r="B42" s="303" t="s">
        <v>38</v>
      </c>
      <c r="C42" s="163">
        <f t="shared" si="6"/>
        <v>9750</v>
      </c>
      <c r="D42" s="163">
        <f t="shared" si="6"/>
        <v>11155</v>
      </c>
      <c r="E42" s="163">
        <f t="shared" si="6"/>
        <v>5478</v>
      </c>
      <c r="F42" s="163">
        <f t="shared" si="6"/>
        <v>3360</v>
      </c>
      <c r="G42" s="707">
        <f>+G36+G24+G18+G12</f>
        <v>296</v>
      </c>
      <c r="H42" s="163">
        <f>+H36+H24+H18+H12</f>
        <v>2633</v>
      </c>
      <c r="I42" s="163">
        <f>+I36+I24+I18+I12+I30</f>
        <v>1698</v>
      </c>
      <c r="J42" s="165">
        <f>+J36+J24+J18+J12</f>
        <v>7003</v>
      </c>
      <c r="K42" s="164">
        <f>SUM(C42:J42)</f>
        <v>41373</v>
      </c>
      <c r="N42" s="157"/>
    </row>
    <row r="43" spans="1:14" ht="16.5" customHeight="1" thickBot="1">
      <c r="A43" s="1141"/>
      <c r="B43" s="1142" t="s">
        <v>819</v>
      </c>
      <c r="C43" s="1143">
        <f t="shared" ref="C43:K43" si="7">SUM(C38:C42)</f>
        <v>80758</v>
      </c>
      <c r="D43" s="1143">
        <f t="shared" si="7"/>
        <v>88207</v>
      </c>
      <c r="E43" s="1143">
        <f t="shared" si="7"/>
        <v>49742</v>
      </c>
      <c r="F43" s="1143">
        <f t="shared" si="7"/>
        <v>24735</v>
      </c>
      <c r="G43" s="1144">
        <f t="shared" si="7"/>
        <v>3610</v>
      </c>
      <c r="H43" s="1143">
        <f t="shared" si="7"/>
        <v>31351</v>
      </c>
      <c r="I43" s="1143">
        <f t="shared" si="7"/>
        <v>27450</v>
      </c>
      <c r="J43" s="1145">
        <f t="shared" si="7"/>
        <v>44072</v>
      </c>
      <c r="K43" s="1143">
        <f t="shared" si="7"/>
        <v>349925</v>
      </c>
    </row>
    <row r="44" spans="1:14" ht="16.5" customHeight="1">
      <c r="A44" s="254"/>
      <c r="B44" s="675" t="s">
        <v>1395</v>
      </c>
      <c r="C44" s="162">
        <v>109</v>
      </c>
      <c r="D44" s="163">
        <v>116</v>
      </c>
      <c r="E44" s="162"/>
      <c r="F44" s="163"/>
      <c r="G44" s="707"/>
      <c r="H44" s="707"/>
      <c r="I44" s="163"/>
      <c r="J44" s="165"/>
      <c r="K44" s="164">
        <f t="shared" ref="K44:K49" si="8">SUM(C44:J44)</f>
        <v>225</v>
      </c>
    </row>
    <row r="45" spans="1:14">
      <c r="A45" s="254"/>
      <c r="B45" s="675" t="s">
        <v>1396</v>
      </c>
      <c r="C45" s="162">
        <v>591</v>
      </c>
      <c r="D45" s="163">
        <v>1354</v>
      </c>
      <c r="E45" s="162"/>
      <c r="F45" s="163"/>
      <c r="G45" s="707"/>
      <c r="H45" s="163"/>
      <c r="I45" s="163"/>
      <c r="J45" s="165"/>
      <c r="K45" s="164">
        <f t="shared" si="8"/>
        <v>1945</v>
      </c>
    </row>
    <row r="46" spans="1:14">
      <c r="A46" s="254" t="s">
        <v>1394</v>
      </c>
      <c r="B46" s="675" t="s">
        <v>1397</v>
      </c>
      <c r="C46" s="162">
        <v>27388</v>
      </c>
      <c r="D46" s="163">
        <v>24478</v>
      </c>
      <c r="E46" s="162"/>
      <c r="F46" s="163"/>
      <c r="G46" s="162"/>
      <c r="H46" s="163"/>
      <c r="I46" s="163"/>
      <c r="J46" s="165"/>
      <c r="K46" s="164">
        <f t="shared" si="8"/>
        <v>51866</v>
      </c>
      <c r="L46" s="710"/>
    </row>
    <row r="47" spans="1:14">
      <c r="A47" s="254"/>
      <c r="B47" s="675" t="s">
        <v>1398</v>
      </c>
      <c r="C47" s="162">
        <v>42450</v>
      </c>
      <c r="D47" s="163">
        <v>48515</v>
      </c>
      <c r="E47" s="162"/>
      <c r="F47" s="163"/>
      <c r="G47" s="162"/>
      <c r="H47" s="163"/>
      <c r="I47" s="163"/>
      <c r="J47" s="165"/>
      <c r="K47" s="164">
        <f t="shared" si="8"/>
        <v>90965</v>
      </c>
    </row>
    <row r="48" spans="1:14">
      <c r="A48" s="254"/>
      <c r="B48" s="675" t="s">
        <v>1399</v>
      </c>
      <c r="C48" s="163">
        <v>0</v>
      </c>
      <c r="D48" s="163">
        <v>4155</v>
      </c>
      <c r="E48" s="163"/>
      <c r="F48" s="163"/>
      <c r="G48" s="707"/>
      <c r="H48" s="163"/>
      <c r="I48" s="163"/>
      <c r="J48" s="165"/>
      <c r="K48" s="164">
        <f t="shared" si="8"/>
        <v>4155</v>
      </c>
    </row>
    <row r="49" spans="1:11">
      <c r="A49" s="254"/>
      <c r="B49" s="675" t="s">
        <v>1400</v>
      </c>
      <c r="C49" s="163">
        <v>56</v>
      </c>
      <c r="D49" s="163"/>
      <c r="E49" s="163"/>
      <c r="F49" s="163"/>
      <c r="G49" s="707"/>
      <c r="H49" s="163"/>
      <c r="I49" s="163"/>
      <c r="J49" s="165"/>
      <c r="K49" s="164">
        <f t="shared" si="8"/>
        <v>56</v>
      </c>
    </row>
    <row r="50" spans="1:11">
      <c r="A50" s="688"/>
      <c r="B50" s="211" t="s">
        <v>819</v>
      </c>
      <c r="C50" s="167">
        <f>SUM(C44:C49)</f>
        <v>70594</v>
      </c>
      <c r="D50" s="167">
        <f>SUM(D44:D49)</f>
        <v>78618</v>
      </c>
      <c r="E50" s="167">
        <f t="shared" ref="E50:J50" si="9">SUM(E44:E48)</f>
        <v>0</v>
      </c>
      <c r="F50" s="167">
        <f t="shared" si="9"/>
        <v>0</v>
      </c>
      <c r="G50" s="708">
        <f t="shared" si="9"/>
        <v>0</v>
      </c>
      <c r="H50" s="167">
        <f t="shared" si="9"/>
        <v>0</v>
      </c>
      <c r="I50" s="167">
        <f t="shared" si="9"/>
        <v>0</v>
      </c>
      <c r="J50" s="166">
        <f t="shared" si="9"/>
        <v>0</v>
      </c>
      <c r="K50" s="167">
        <f>SUM(K44:K49)</f>
        <v>149212</v>
      </c>
    </row>
    <row r="51" spans="1:11">
      <c r="A51" s="6" t="s">
        <v>1480</v>
      </c>
      <c r="B51" s="6"/>
      <c r="C51" s="6"/>
      <c r="D51" s="6"/>
      <c r="E51" s="6"/>
      <c r="F51" s="6"/>
      <c r="G51" s="6"/>
      <c r="H51" s="6"/>
      <c r="I51" s="6"/>
      <c r="J51" s="6"/>
      <c r="K51" s="6"/>
    </row>
    <row r="52" spans="1:11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</row>
    <row r="53" spans="1:11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</row>
    <row r="54" spans="1:11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</row>
    <row r="55" spans="1:11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</row>
    <row r="56" spans="1:11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</row>
    <row r="57" spans="1:11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</row>
    <row r="58" spans="1:11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</row>
    <row r="59" spans="1:11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</row>
    <row r="60" spans="1:11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</row>
    <row r="61" spans="1:11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</row>
    <row r="62" spans="1:11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</row>
    <row r="63" spans="1:11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</row>
    <row r="64" spans="1:11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</row>
    <row r="65" spans="1:11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</row>
    <row r="66" spans="1:11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</row>
    <row r="67" spans="1:11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</row>
    <row r="68" spans="1:11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</row>
    <row r="69" spans="1:11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</row>
    <row r="70" spans="1:11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</row>
    <row r="71" spans="1:11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</row>
    <row r="72" spans="1:11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</row>
    <row r="73" spans="1:11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</row>
    <row r="74" spans="1:11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</row>
    <row r="75" spans="1:11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</row>
    <row r="76" spans="1:11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</row>
    <row r="77" spans="1:11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</row>
    <row r="78" spans="1:11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</row>
  </sheetData>
  <phoneticPr fontId="19" type="noConversion"/>
  <pageMargins left="0.78740157480314965" right="0.19685039370078741" top="0.78740157480314965" bottom="0.98425196850393704" header="0.51181102362204722" footer="0.51181102362204722"/>
  <pageSetup paperSize="5" scale="75" orientation="portrait" horizontalDpi="300" verticalDpi="300" r:id="rId1"/>
  <headerFooter alignWithMargins="0">
    <oddHeader xml:space="preserve">&amp;R
</oddHead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81"/>
  <sheetViews>
    <sheetView topLeftCell="A10" workbookViewId="0">
      <selection activeCell="D12" sqref="D12"/>
    </sheetView>
  </sheetViews>
  <sheetFormatPr baseColWidth="10" defaultRowHeight="12.75"/>
  <cols>
    <col min="1" max="1" width="6.28515625" customWidth="1"/>
    <col min="2" max="2" width="10.140625" customWidth="1"/>
    <col min="3" max="3" width="9.140625" customWidth="1"/>
    <col min="4" max="4" width="10.85546875" customWidth="1"/>
    <col min="5" max="5" width="9.7109375" customWidth="1"/>
    <col min="6" max="6" width="9.5703125" customWidth="1"/>
    <col min="7" max="7" width="9.42578125" customWidth="1"/>
    <col min="8" max="8" width="9.5703125" customWidth="1"/>
    <col min="9" max="9" width="9.7109375" customWidth="1"/>
    <col min="10" max="10" width="9" customWidth="1"/>
    <col min="11" max="11" width="9.28515625" customWidth="1"/>
    <col min="12" max="12" width="8.7109375" customWidth="1"/>
    <col min="13" max="14" width="9.7109375" customWidth="1"/>
    <col min="15" max="15" width="9" customWidth="1"/>
    <col min="16" max="16" width="8.5703125" customWidth="1"/>
  </cols>
  <sheetData>
    <row r="1" spans="1:18">
      <c r="A1" s="118" t="s">
        <v>707</v>
      </c>
      <c r="B1" s="118"/>
      <c r="C1" s="118"/>
      <c r="D1" s="118"/>
      <c r="E1" s="118"/>
      <c r="F1" s="118"/>
      <c r="G1" s="118"/>
      <c r="H1" s="118"/>
      <c r="I1" s="83"/>
      <c r="J1" s="117"/>
      <c r="K1" s="117"/>
      <c r="L1" s="117"/>
      <c r="M1" s="117"/>
      <c r="N1" s="117"/>
      <c r="O1" s="117"/>
      <c r="P1" s="117"/>
    </row>
    <row r="2" spans="1:18">
      <c r="A2" s="118"/>
      <c r="B2" s="118"/>
      <c r="C2" s="118"/>
      <c r="D2" s="118"/>
      <c r="E2" s="118"/>
      <c r="F2" s="118"/>
      <c r="G2" s="118"/>
      <c r="H2" s="118"/>
      <c r="I2" s="83"/>
      <c r="J2" s="117"/>
      <c r="K2" s="117"/>
      <c r="L2" s="117"/>
      <c r="M2" s="117"/>
      <c r="N2" s="117"/>
      <c r="O2" s="117"/>
      <c r="P2" s="117"/>
    </row>
    <row r="3" spans="1:18">
      <c r="A3" s="118" t="s">
        <v>1436</v>
      </c>
      <c r="B3" s="118"/>
      <c r="C3" s="118"/>
      <c r="D3" s="118"/>
      <c r="E3" s="118"/>
      <c r="F3" s="118"/>
      <c r="G3" s="118"/>
      <c r="H3" s="118"/>
      <c r="I3" s="83"/>
      <c r="J3" s="117"/>
      <c r="K3" s="117"/>
      <c r="L3" s="117"/>
      <c r="M3" s="117"/>
      <c r="N3" s="117"/>
      <c r="O3" s="117"/>
      <c r="P3" s="117"/>
    </row>
    <row r="4" spans="1:18">
      <c r="A4" s="185"/>
      <c r="B4" s="185"/>
      <c r="C4" s="185"/>
      <c r="D4" s="185"/>
      <c r="E4" s="185"/>
      <c r="F4" s="185"/>
      <c r="G4" s="185"/>
      <c r="H4" s="185"/>
      <c r="I4" s="117"/>
      <c r="J4" s="117"/>
      <c r="K4" s="117"/>
      <c r="L4" s="117"/>
      <c r="M4" s="117"/>
      <c r="N4" s="117"/>
      <c r="O4" s="117"/>
      <c r="P4" s="117"/>
    </row>
    <row r="5" spans="1:18">
      <c r="A5" s="1"/>
      <c r="B5" s="117"/>
      <c r="C5" s="117"/>
      <c r="D5" s="117"/>
      <c r="E5" s="117"/>
      <c r="F5" s="117"/>
      <c r="G5" s="117"/>
      <c r="H5" s="117"/>
      <c r="I5" s="117"/>
      <c r="J5" s="117"/>
      <c r="K5" s="117"/>
      <c r="L5" s="117"/>
      <c r="M5" s="117"/>
      <c r="N5" s="117"/>
      <c r="O5" s="117"/>
      <c r="P5" s="117"/>
    </row>
    <row r="6" spans="1:18" ht="22.5" customHeight="1">
      <c r="A6" s="186"/>
      <c r="B6" s="187"/>
      <c r="C6" s="187"/>
      <c r="D6" s="187"/>
      <c r="E6" s="188"/>
      <c r="F6" s="122" t="s">
        <v>708</v>
      </c>
      <c r="G6" s="122"/>
      <c r="H6" s="122"/>
      <c r="I6" s="122"/>
      <c r="J6" s="122"/>
      <c r="K6" s="122"/>
      <c r="L6" s="122"/>
      <c r="M6" s="122"/>
      <c r="N6" s="122"/>
      <c r="O6" s="122"/>
      <c r="P6" s="189"/>
    </row>
    <row r="7" spans="1:18">
      <c r="A7" s="190" t="s">
        <v>709</v>
      </c>
      <c r="B7" s="191" t="s">
        <v>714</v>
      </c>
      <c r="C7" s="191" t="s">
        <v>715</v>
      </c>
      <c r="D7" s="192" t="s">
        <v>716</v>
      </c>
      <c r="E7" s="193" t="s">
        <v>717</v>
      </c>
      <c r="F7" s="183"/>
      <c r="G7" s="194"/>
      <c r="H7" s="194"/>
      <c r="I7" s="194"/>
      <c r="J7" s="193" t="s">
        <v>717</v>
      </c>
      <c r="K7" s="194"/>
      <c r="L7" s="194"/>
      <c r="M7" s="194"/>
      <c r="N7" s="194"/>
      <c r="O7" s="194"/>
      <c r="P7" s="195"/>
    </row>
    <row r="8" spans="1:18">
      <c r="A8" s="196"/>
      <c r="B8" s="197"/>
      <c r="C8" s="197"/>
      <c r="D8" s="192" t="s">
        <v>718</v>
      </c>
      <c r="E8" s="190" t="s">
        <v>699</v>
      </c>
      <c r="F8" s="191" t="s">
        <v>699</v>
      </c>
      <c r="G8" s="191" t="s">
        <v>719</v>
      </c>
      <c r="H8" s="191" t="s">
        <v>720</v>
      </c>
      <c r="I8" s="191" t="s">
        <v>483</v>
      </c>
      <c r="J8" s="191" t="s">
        <v>721</v>
      </c>
      <c r="K8" s="191" t="s">
        <v>721</v>
      </c>
      <c r="L8" s="191" t="s">
        <v>445</v>
      </c>
      <c r="M8" s="191" t="s">
        <v>463</v>
      </c>
      <c r="N8" s="191" t="s">
        <v>468</v>
      </c>
      <c r="O8" s="191" t="s">
        <v>722</v>
      </c>
      <c r="P8" s="190" t="s">
        <v>470</v>
      </c>
    </row>
    <row r="9" spans="1:18">
      <c r="A9" s="190"/>
      <c r="B9" s="191"/>
      <c r="C9" s="191"/>
      <c r="D9" s="198"/>
      <c r="E9" s="199"/>
      <c r="F9" s="200"/>
      <c r="G9" s="200"/>
      <c r="H9" s="200"/>
      <c r="I9" s="200"/>
      <c r="J9" s="200"/>
      <c r="K9" s="200"/>
      <c r="L9" s="200"/>
      <c r="M9" s="200"/>
      <c r="N9" s="200"/>
      <c r="O9" s="200"/>
      <c r="P9" s="184"/>
    </row>
    <row r="10" spans="1:18">
      <c r="A10" s="194"/>
      <c r="B10" s="59"/>
      <c r="C10" s="201"/>
      <c r="D10" s="202"/>
      <c r="E10" s="202"/>
      <c r="F10" s="195"/>
      <c r="G10" s="203"/>
      <c r="H10" s="195"/>
      <c r="I10" s="203"/>
      <c r="J10" s="194"/>
      <c r="K10" s="195"/>
      <c r="L10" s="203"/>
      <c r="M10" s="195"/>
      <c r="N10" s="203"/>
      <c r="O10" s="195"/>
      <c r="P10" s="195"/>
    </row>
    <row r="11" spans="1:18" s="6" customFormat="1" ht="25.5" customHeight="1">
      <c r="A11" s="204">
        <v>2005</v>
      </c>
      <c r="B11" s="205">
        <v>16267278</v>
      </c>
      <c r="C11" s="206">
        <v>1662708</v>
      </c>
      <c r="D11" s="207">
        <v>245434</v>
      </c>
      <c r="E11" s="207">
        <v>101913</v>
      </c>
      <c r="F11" s="205">
        <v>67682</v>
      </c>
      <c r="G11" s="208">
        <v>15970</v>
      </c>
      <c r="H11" s="205">
        <v>10886</v>
      </c>
      <c r="I11" s="208">
        <v>7375</v>
      </c>
      <c r="J11" s="207">
        <v>143521</v>
      </c>
      <c r="K11" s="205">
        <v>71011</v>
      </c>
      <c r="L11" s="208">
        <v>15937</v>
      </c>
      <c r="M11" s="205">
        <v>13802</v>
      </c>
      <c r="N11" s="208">
        <v>7082</v>
      </c>
      <c r="O11" s="205">
        <v>22849</v>
      </c>
      <c r="P11" s="205">
        <v>12840</v>
      </c>
      <c r="R11" s="209"/>
    </row>
    <row r="12" spans="1:18" s="6" customFormat="1" ht="25.5" customHeight="1">
      <c r="A12" s="204">
        <v>2006</v>
      </c>
      <c r="B12" s="205">
        <v>16432674</v>
      </c>
      <c r="C12" s="206">
        <v>1682005</v>
      </c>
      <c r="D12" s="207">
        <v>248714</v>
      </c>
      <c r="E12" s="207">
        <v>103515</v>
      </c>
      <c r="F12" s="205">
        <v>68904</v>
      </c>
      <c r="G12" s="208">
        <v>16212</v>
      </c>
      <c r="H12" s="205">
        <v>10924</v>
      </c>
      <c r="I12" s="208">
        <v>7475</v>
      </c>
      <c r="J12" s="207">
        <v>145199</v>
      </c>
      <c r="K12" s="205">
        <v>72077</v>
      </c>
      <c r="L12" s="208">
        <v>16141</v>
      </c>
      <c r="M12" s="205">
        <v>13936</v>
      </c>
      <c r="N12" s="208">
        <v>7148</v>
      </c>
      <c r="O12" s="205">
        <v>22979</v>
      </c>
      <c r="P12" s="205">
        <v>12918</v>
      </c>
      <c r="R12" s="209"/>
    </row>
    <row r="13" spans="1:18" s="6" customFormat="1" ht="25.5" customHeight="1">
      <c r="A13" s="204">
        <v>2007</v>
      </c>
      <c r="B13" s="205">
        <v>16598074</v>
      </c>
      <c r="C13" s="206">
        <v>1701293</v>
      </c>
      <c r="D13" s="207">
        <v>252006</v>
      </c>
      <c r="E13" s="207">
        <v>105143</v>
      </c>
      <c r="F13" s="205">
        <v>70127</v>
      </c>
      <c r="G13" s="208">
        <v>16467</v>
      </c>
      <c r="H13" s="205">
        <v>10967</v>
      </c>
      <c r="I13" s="208">
        <v>7582</v>
      </c>
      <c r="J13" s="207">
        <v>146863</v>
      </c>
      <c r="K13" s="205">
        <v>73159</v>
      </c>
      <c r="L13" s="208">
        <v>16340</v>
      </c>
      <c r="M13" s="205">
        <v>14052</v>
      </c>
      <c r="N13" s="208">
        <v>7220</v>
      </c>
      <c r="O13" s="205">
        <v>23099</v>
      </c>
      <c r="P13" s="205">
        <v>12993</v>
      </c>
      <c r="R13" s="209"/>
    </row>
    <row r="14" spans="1:18" s="6" customFormat="1" ht="25.5" customHeight="1">
      <c r="A14" s="204">
        <v>2008</v>
      </c>
      <c r="B14" s="205">
        <v>16763470</v>
      </c>
      <c r="C14" s="206">
        <v>1720588</v>
      </c>
      <c r="D14" s="207">
        <v>255306</v>
      </c>
      <c r="E14" s="207">
        <v>106764</v>
      </c>
      <c r="F14" s="205">
        <v>71349</v>
      </c>
      <c r="G14" s="208">
        <v>16723</v>
      </c>
      <c r="H14" s="205">
        <v>10994</v>
      </c>
      <c r="I14" s="208">
        <v>7698</v>
      </c>
      <c r="J14" s="207">
        <v>148542</v>
      </c>
      <c r="K14" s="205">
        <v>74237</v>
      </c>
      <c r="L14" s="208">
        <v>16541</v>
      </c>
      <c r="M14" s="205">
        <v>14176</v>
      </c>
      <c r="N14" s="208">
        <v>7292</v>
      </c>
      <c r="O14" s="205">
        <v>23222</v>
      </c>
      <c r="P14" s="205">
        <v>13074</v>
      </c>
      <c r="R14" s="209"/>
    </row>
    <row r="15" spans="1:18" s="6" customFormat="1" ht="25.5" customHeight="1">
      <c r="A15" s="204">
        <v>2009</v>
      </c>
      <c r="B15" s="205">
        <v>16928873</v>
      </c>
      <c r="C15" s="206">
        <v>1739876</v>
      </c>
      <c r="D15" s="207">
        <v>258573</v>
      </c>
      <c r="E15" s="207">
        <v>108360</v>
      </c>
      <c r="F15" s="205">
        <v>72563</v>
      </c>
      <c r="G15" s="208">
        <v>16966</v>
      </c>
      <c r="H15" s="205">
        <v>11031</v>
      </c>
      <c r="I15" s="208">
        <v>7800</v>
      </c>
      <c r="J15" s="207">
        <v>150213</v>
      </c>
      <c r="K15" s="205">
        <v>75302</v>
      </c>
      <c r="L15" s="208">
        <v>16745</v>
      </c>
      <c r="M15" s="205">
        <v>14322</v>
      </c>
      <c r="N15" s="208">
        <v>7355</v>
      </c>
      <c r="O15" s="205">
        <v>23346</v>
      </c>
      <c r="P15" s="205">
        <v>13143</v>
      </c>
      <c r="R15" s="209"/>
    </row>
    <row r="16" spans="1:18" s="6" customFormat="1" ht="25.5" customHeight="1">
      <c r="A16" s="204">
        <v>2010</v>
      </c>
      <c r="B16" s="205">
        <v>17094270</v>
      </c>
      <c r="C16" s="206">
        <v>1759167</v>
      </c>
      <c r="D16" s="207">
        <v>261886</v>
      </c>
      <c r="E16" s="207">
        <v>109991</v>
      </c>
      <c r="F16" s="205">
        <v>73797</v>
      </c>
      <c r="G16" s="208">
        <v>17218</v>
      </c>
      <c r="H16" s="205">
        <v>11066</v>
      </c>
      <c r="I16" s="208">
        <v>7910</v>
      </c>
      <c r="J16" s="207">
        <v>151895</v>
      </c>
      <c r="K16" s="205">
        <v>76380</v>
      </c>
      <c r="L16" s="208">
        <v>16956</v>
      </c>
      <c r="M16" s="205">
        <v>14436</v>
      </c>
      <c r="N16" s="208">
        <v>7431</v>
      </c>
      <c r="O16" s="205">
        <v>23473</v>
      </c>
      <c r="P16" s="205">
        <v>13219</v>
      </c>
      <c r="R16" s="209"/>
    </row>
    <row r="17" spans="1:18" s="6" customFormat="1" ht="25.5" customHeight="1">
      <c r="A17" s="204">
        <v>2011</v>
      </c>
      <c r="B17" s="205">
        <v>17248450</v>
      </c>
      <c r="C17" s="206">
        <v>1777470</v>
      </c>
      <c r="D17" s="207">
        <v>264902</v>
      </c>
      <c r="E17" s="207">
        <v>111485</v>
      </c>
      <c r="F17" s="205">
        <v>74959</v>
      </c>
      <c r="G17" s="208">
        <v>17447</v>
      </c>
      <c r="H17" s="205">
        <v>11078</v>
      </c>
      <c r="I17" s="208">
        <v>8001</v>
      </c>
      <c r="J17" s="207">
        <v>153417</v>
      </c>
      <c r="K17" s="205">
        <v>77394</v>
      </c>
      <c r="L17" s="208">
        <v>17147</v>
      </c>
      <c r="M17" s="205">
        <v>14544</v>
      </c>
      <c r="N17" s="208">
        <v>7493</v>
      </c>
      <c r="O17" s="205">
        <v>23559</v>
      </c>
      <c r="P17" s="205">
        <v>13280</v>
      </c>
      <c r="R17" s="209"/>
    </row>
    <row r="18" spans="1:18" s="6" customFormat="1" ht="25.5" customHeight="1">
      <c r="A18" s="204">
        <v>2012</v>
      </c>
      <c r="B18" s="205">
        <v>17402630</v>
      </c>
      <c r="C18" s="206">
        <v>1795765</v>
      </c>
      <c r="D18" s="207">
        <v>267912</v>
      </c>
      <c r="E18" s="207">
        <v>112982</v>
      </c>
      <c r="F18" s="205">
        <v>76130</v>
      </c>
      <c r="G18" s="208">
        <v>17677</v>
      </c>
      <c r="H18" s="205">
        <v>11091</v>
      </c>
      <c r="I18" s="208">
        <v>8084</v>
      </c>
      <c r="J18" s="207">
        <v>154930</v>
      </c>
      <c r="K18" s="205">
        <v>78428</v>
      </c>
      <c r="L18" s="208">
        <v>17336</v>
      </c>
      <c r="M18" s="205">
        <v>14652</v>
      </c>
      <c r="N18" s="208">
        <v>7556</v>
      </c>
      <c r="O18" s="205">
        <v>23638</v>
      </c>
      <c r="P18" s="205">
        <v>13320</v>
      </c>
      <c r="R18" s="209"/>
    </row>
    <row r="19" spans="1:18" s="6" customFormat="1" ht="25.5" customHeight="1">
      <c r="A19" s="204">
        <v>2013</v>
      </c>
      <c r="B19" s="205">
        <v>17556815</v>
      </c>
      <c r="C19" s="206">
        <v>1814079</v>
      </c>
      <c r="D19" s="207">
        <v>270947</v>
      </c>
      <c r="E19" s="207">
        <v>114496</v>
      </c>
      <c r="F19" s="205">
        <v>77305</v>
      </c>
      <c r="G19" s="208">
        <v>17905</v>
      </c>
      <c r="H19" s="205">
        <v>11107</v>
      </c>
      <c r="I19" s="208">
        <v>8179</v>
      </c>
      <c r="J19" s="207">
        <v>156451</v>
      </c>
      <c r="K19" s="205">
        <v>79454</v>
      </c>
      <c r="L19" s="208">
        <v>17525</v>
      </c>
      <c r="M19" s="205">
        <v>14753</v>
      </c>
      <c r="N19" s="208">
        <v>7617</v>
      </c>
      <c r="O19" s="205">
        <v>23728</v>
      </c>
      <c r="P19" s="205">
        <v>13374</v>
      </c>
      <c r="R19" s="209"/>
    </row>
    <row r="20" spans="1:18" s="6" customFormat="1" ht="25.5" customHeight="1">
      <c r="A20" s="204">
        <v>2014</v>
      </c>
      <c r="B20" s="205">
        <v>17711004</v>
      </c>
      <c r="C20" s="206">
        <v>1832379</v>
      </c>
      <c r="D20" s="207">
        <f>+F20+G20+H20+I20+K20+L20+M20+N20+O20+P20</f>
        <v>273968</v>
      </c>
      <c r="E20" s="207">
        <f>SUM(F20:I20)</f>
        <v>115998</v>
      </c>
      <c r="F20" s="205">
        <f>+'8'!B9</f>
        <v>78473</v>
      </c>
      <c r="G20" s="208">
        <f>+'8'!B17</f>
        <v>18141</v>
      </c>
      <c r="H20" s="205">
        <f>+'8'!B25</f>
        <v>11112</v>
      </c>
      <c r="I20" s="208">
        <f>+'8'!B29</f>
        <v>8272</v>
      </c>
      <c r="J20" s="207">
        <f>SUM(K20:P20)</f>
        <v>157970</v>
      </c>
      <c r="K20" s="205">
        <f>+'8'!B37</f>
        <v>80479</v>
      </c>
      <c r="L20" s="208">
        <f>+'8'!B43</f>
        <v>17716</v>
      </c>
      <c r="M20" s="205">
        <f>+'8'!B56</f>
        <v>14864</v>
      </c>
      <c r="N20" s="208">
        <f>+'8'!B61</f>
        <v>7682</v>
      </c>
      <c r="O20" s="205">
        <f>+'8'!B67</f>
        <v>23810</v>
      </c>
      <c r="P20" s="205">
        <f>+'8'!B73</f>
        <v>13419</v>
      </c>
      <c r="R20" s="209"/>
    </row>
    <row r="21" spans="1:18">
      <c r="A21" s="210"/>
      <c r="B21" s="211"/>
      <c r="C21" s="212"/>
      <c r="D21" s="213"/>
      <c r="E21" s="213"/>
      <c r="F21" s="214"/>
      <c r="G21" s="215"/>
      <c r="H21" s="214"/>
      <c r="I21" s="215"/>
      <c r="J21" s="216"/>
      <c r="K21" s="214"/>
      <c r="L21" s="215"/>
      <c r="M21" s="214"/>
      <c r="N21" s="215"/>
      <c r="O21" s="214"/>
      <c r="P21" s="214"/>
      <c r="R21" s="209"/>
    </row>
    <row r="22" spans="1:18">
      <c r="A22" s="217"/>
      <c r="B22" s="217"/>
      <c r="C22" s="217"/>
      <c r="D22" s="217"/>
      <c r="E22" s="217"/>
      <c r="F22" s="217"/>
      <c r="G22" s="217"/>
      <c r="H22" s="217"/>
      <c r="I22" s="217"/>
      <c r="J22" s="217"/>
      <c r="K22" s="217"/>
      <c r="L22" s="217"/>
      <c r="M22" s="217"/>
      <c r="N22" s="217"/>
      <c r="O22" s="217"/>
      <c r="P22" s="217"/>
    </row>
    <row r="23" spans="1:18">
      <c r="A23" s="218" t="s">
        <v>723</v>
      </c>
      <c r="B23" s="219"/>
      <c r="C23" s="217"/>
      <c r="D23" s="217"/>
      <c r="E23" s="217"/>
      <c r="F23" s="217"/>
      <c r="G23" s="217"/>
      <c r="H23" s="217"/>
      <c r="I23" s="217"/>
      <c r="J23" s="217"/>
      <c r="K23" s="217"/>
      <c r="L23" s="217"/>
      <c r="M23" s="217"/>
      <c r="N23" s="217"/>
      <c r="O23" s="217"/>
      <c r="P23" s="217"/>
    </row>
    <row r="24" spans="1:18">
      <c r="A24" s="217"/>
      <c r="B24" s="220"/>
      <c r="C24" s="221"/>
      <c r="D24" s="217"/>
      <c r="E24" s="217"/>
      <c r="F24" s="217"/>
      <c r="G24" s="217"/>
      <c r="H24" s="217"/>
      <c r="I24" s="217"/>
      <c r="J24" s="217"/>
      <c r="K24" s="217"/>
      <c r="L24" s="217"/>
      <c r="M24" s="217"/>
      <c r="N24" s="217"/>
      <c r="O24" s="217"/>
      <c r="P24" s="217"/>
    </row>
    <row r="25" spans="1:18">
      <c r="A25" s="217"/>
      <c r="B25" s="217"/>
      <c r="C25" s="217"/>
      <c r="D25" s="217"/>
      <c r="E25" s="217"/>
      <c r="F25" s="217"/>
      <c r="G25" s="217"/>
      <c r="H25" s="217"/>
      <c r="I25" s="217"/>
      <c r="J25" s="217"/>
      <c r="K25" s="217"/>
      <c r="L25" s="217"/>
      <c r="M25" s="217"/>
      <c r="N25" s="217"/>
      <c r="O25" s="217"/>
      <c r="P25" s="217"/>
    </row>
    <row r="26" spans="1:18">
      <c r="A26" s="221"/>
      <c r="B26" s="221"/>
      <c r="C26" s="221"/>
      <c r="D26" s="221"/>
      <c r="E26" s="221"/>
      <c r="F26" s="221"/>
      <c r="G26" s="221"/>
      <c r="H26" s="221"/>
      <c r="I26" s="221"/>
      <c r="J26" s="221"/>
      <c r="K26" s="221"/>
      <c r="L26" s="221"/>
      <c r="M26" s="221"/>
      <c r="N26" s="221"/>
      <c r="O26" s="221"/>
      <c r="P26" s="221"/>
    </row>
    <row r="27" spans="1:18">
      <c r="A27" s="221"/>
      <c r="B27" s="221"/>
      <c r="C27" s="221"/>
      <c r="D27" s="221"/>
      <c r="E27" s="221"/>
      <c r="F27" s="221"/>
      <c r="G27" s="221"/>
      <c r="H27" s="221"/>
      <c r="I27" s="221"/>
      <c r="J27" s="221"/>
      <c r="K27" s="221"/>
      <c r="L27" s="221"/>
      <c r="M27" s="221"/>
      <c r="N27" s="221"/>
      <c r="O27" s="221"/>
      <c r="P27" s="221"/>
    </row>
    <row r="28" spans="1:18">
      <c r="A28" s="221"/>
      <c r="B28" s="221"/>
      <c r="C28" s="221"/>
      <c r="D28" s="221"/>
      <c r="E28" s="221"/>
      <c r="F28" s="221"/>
      <c r="G28" s="221"/>
      <c r="H28" s="221"/>
      <c r="I28" s="221"/>
      <c r="J28" s="221"/>
      <c r="K28" s="221"/>
      <c r="L28" s="221"/>
      <c r="M28" s="221"/>
      <c r="N28" s="221"/>
      <c r="O28" s="221"/>
      <c r="P28" s="221"/>
    </row>
    <row r="29" spans="1:18">
      <c r="A29" s="221"/>
      <c r="B29" s="221"/>
      <c r="C29" s="221"/>
      <c r="D29" s="221"/>
      <c r="E29" s="221"/>
      <c r="F29" s="221"/>
      <c r="G29" s="221"/>
      <c r="H29" s="221"/>
      <c r="I29" s="221"/>
      <c r="J29" s="221"/>
      <c r="K29" s="221"/>
      <c r="L29" s="221"/>
      <c r="M29" s="221"/>
      <c r="N29" s="221"/>
      <c r="O29" s="221"/>
      <c r="P29" s="221"/>
    </row>
    <row r="30" spans="1:18">
      <c r="A30" s="221"/>
      <c r="B30" s="221"/>
      <c r="C30" s="221"/>
      <c r="D30" s="221"/>
      <c r="E30" s="221"/>
      <c r="F30" s="221"/>
      <c r="G30" s="221"/>
      <c r="H30" s="221"/>
      <c r="I30" s="221"/>
      <c r="J30" s="221"/>
      <c r="K30" s="221"/>
      <c r="L30" s="221"/>
      <c r="M30" s="221"/>
      <c r="N30" s="221"/>
      <c r="O30" s="221"/>
      <c r="P30" s="221"/>
    </row>
    <row r="31" spans="1:18">
      <c r="A31" s="221"/>
      <c r="B31" s="221"/>
      <c r="C31" s="221"/>
      <c r="D31" s="221"/>
      <c r="E31" s="221"/>
      <c r="F31" s="221"/>
      <c r="G31" s="221"/>
      <c r="H31" s="221"/>
      <c r="I31" s="221"/>
      <c r="J31" s="221"/>
      <c r="K31" s="221"/>
      <c r="L31" s="221"/>
      <c r="M31" s="221"/>
      <c r="N31" s="221"/>
      <c r="O31" s="221"/>
      <c r="P31" s="221"/>
    </row>
    <row r="32" spans="1:18">
      <c r="A32" s="221"/>
      <c r="B32" s="221"/>
      <c r="C32" s="221"/>
      <c r="D32" s="221"/>
      <c r="E32" s="221"/>
      <c r="F32" s="221"/>
      <c r="G32" s="221"/>
      <c r="H32" s="221"/>
      <c r="I32" s="221"/>
      <c r="J32" s="221"/>
      <c r="K32" s="221"/>
      <c r="L32" s="221"/>
      <c r="M32" s="221"/>
      <c r="N32" s="221"/>
      <c r="O32" s="221"/>
      <c r="P32" s="221"/>
    </row>
    <row r="33" spans="1:16">
      <c r="A33" s="221"/>
      <c r="B33" s="221"/>
      <c r="C33" s="221"/>
      <c r="D33" s="221"/>
      <c r="E33" s="221"/>
      <c r="F33" s="221"/>
      <c r="G33" s="221"/>
      <c r="H33" s="221"/>
      <c r="I33" s="221"/>
      <c r="J33" s="221"/>
      <c r="K33" s="221"/>
      <c r="L33" s="221"/>
      <c r="M33" s="221"/>
      <c r="N33" s="221"/>
      <c r="O33" s="221"/>
      <c r="P33" s="221"/>
    </row>
    <row r="34" spans="1:16">
      <c r="A34" s="221"/>
      <c r="B34" s="221"/>
      <c r="C34" s="221"/>
      <c r="D34" s="221"/>
      <c r="E34" s="221"/>
      <c r="F34" s="221"/>
      <c r="G34" s="221"/>
      <c r="H34" s="221"/>
      <c r="I34" s="221"/>
      <c r="J34" s="221"/>
      <c r="K34" s="221"/>
      <c r="L34" s="221"/>
      <c r="M34" s="221"/>
      <c r="N34" s="221"/>
      <c r="O34" s="221"/>
      <c r="P34" s="221"/>
    </row>
    <row r="35" spans="1:16">
      <c r="A35" s="221"/>
      <c r="B35" s="221"/>
      <c r="C35" s="221"/>
      <c r="D35" s="221"/>
      <c r="E35" s="221"/>
      <c r="F35" s="221"/>
      <c r="G35" s="221"/>
      <c r="H35" s="221"/>
      <c r="I35" s="221"/>
      <c r="J35" s="221"/>
      <c r="K35" s="221"/>
      <c r="L35" s="221"/>
      <c r="M35" s="221"/>
      <c r="N35" s="221"/>
      <c r="O35" s="221"/>
      <c r="P35" s="221"/>
    </row>
    <row r="36" spans="1:16">
      <c r="A36" s="221"/>
      <c r="B36" s="221"/>
      <c r="C36" s="221"/>
      <c r="D36" s="221"/>
      <c r="E36" s="221"/>
      <c r="F36" s="221"/>
      <c r="G36" s="221"/>
      <c r="H36" s="221"/>
      <c r="I36" s="221"/>
      <c r="J36" s="221"/>
      <c r="K36" s="221"/>
      <c r="L36" s="221"/>
      <c r="M36" s="221"/>
      <c r="N36" s="221"/>
      <c r="O36" s="221"/>
      <c r="P36" s="221"/>
    </row>
    <row r="37" spans="1:16">
      <c r="A37" s="221"/>
      <c r="B37" s="221"/>
      <c r="C37" s="221"/>
      <c r="D37" s="221"/>
      <c r="E37" s="221"/>
      <c r="F37" s="221"/>
      <c r="G37" s="221"/>
      <c r="H37" s="221"/>
      <c r="I37" s="221"/>
      <c r="J37" s="221"/>
      <c r="K37" s="221"/>
      <c r="L37" s="221"/>
      <c r="M37" s="221"/>
      <c r="N37" s="221"/>
      <c r="O37" s="221"/>
      <c r="P37" s="221"/>
    </row>
    <row r="38" spans="1:16">
      <c r="A38" s="221"/>
      <c r="B38" s="221"/>
      <c r="C38" s="221"/>
      <c r="D38" s="221"/>
      <c r="E38" s="221"/>
      <c r="F38" s="221"/>
      <c r="G38" s="221"/>
      <c r="H38" s="221"/>
      <c r="I38" s="221"/>
      <c r="J38" s="221"/>
      <c r="K38" s="221"/>
      <c r="L38" s="221"/>
      <c r="M38" s="221"/>
      <c r="N38" s="221"/>
      <c r="O38" s="221"/>
      <c r="P38" s="221"/>
    </row>
    <row r="39" spans="1:16">
      <c r="A39" s="221"/>
      <c r="B39" s="221"/>
      <c r="C39" s="221"/>
      <c r="D39" s="221"/>
      <c r="E39" s="221"/>
      <c r="F39" s="221"/>
      <c r="G39" s="221"/>
      <c r="H39" s="221"/>
      <c r="I39" s="221"/>
      <c r="J39" s="221"/>
      <c r="K39" s="221"/>
      <c r="L39" s="221"/>
      <c r="M39" s="221"/>
      <c r="N39" s="221"/>
      <c r="O39" s="221"/>
      <c r="P39" s="221"/>
    </row>
    <row r="40" spans="1:16">
      <c r="A40" s="221"/>
      <c r="B40" s="221"/>
      <c r="C40" s="221"/>
      <c r="D40" s="221"/>
      <c r="E40" s="221"/>
      <c r="F40" s="221"/>
      <c r="G40" s="221"/>
      <c r="H40" s="221"/>
      <c r="I40" s="221"/>
      <c r="J40" s="221"/>
      <c r="K40" s="221"/>
      <c r="L40" s="221"/>
      <c r="M40" s="221"/>
      <c r="N40" s="221"/>
      <c r="O40" s="221"/>
      <c r="P40" s="221"/>
    </row>
    <row r="41" spans="1:16">
      <c r="A41" s="221"/>
      <c r="B41" s="221"/>
      <c r="C41" s="221"/>
      <c r="D41" s="221"/>
      <c r="E41" s="221"/>
      <c r="F41" s="221"/>
      <c r="G41" s="221"/>
      <c r="H41" s="221"/>
      <c r="I41" s="221"/>
      <c r="J41" s="221"/>
      <c r="K41" s="221"/>
      <c r="L41" s="221"/>
      <c r="M41" s="221"/>
      <c r="N41" s="221"/>
      <c r="O41" s="221"/>
      <c r="P41" s="221"/>
    </row>
    <row r="42" spans="1:16">
      <c r="A42" s="221"/>
      <c r="B42" s="221"/>
      <c r="C42" s="221"/>
      <c r="D42" s="221"/>
      <c r="E42" s="221"/>
      <c r="F42" s="221"/>
      <c r="G42" s="221"/>
      <c r="H42" s="221"/>
      <c r="I42" s="221"/>
      <c r="J42" s="221"/>
      <c r="K42" s="221"/>
      <c r="L42" s="221"/>
      <c r="M42" s="221"/>
      <c r="N42" s="221"/>
      <c r="O42" s="221"/>
      <c r="P42" s="221"/>
    </row>
    <row r="43" spans="1:16">
      <c r="A43" s="221"/>
      <c r="B43" s="221"/>
      <c r="C43" s="221"/>
      <c r="D43" s="221"/>
      <c r="E43" s="221"/>
      <c r="F43" s="221"/>
      <c r="G43" s="221"/>
      <c r="H43" s="221"/>
      <c r="I43" s="221"/>
      <c r="J43" s="221"/>
      <c r="K43" s="221"/>
      <c r="L43" s="221"/>
      <c r="M43" s="221"/>
      <c r="N43" s="221"/>
      <c r="O43" s="221"/>
      <c r="P43" s="221"/>
    </row>
    <row r="44" spans="1:16">
      <c r="A44" s="221"/>
      <c r="B44" s="221"/>
      <c r="C44" s="221"/>
      <c r="D44" s="221"/>
      <c r="E44" s="221"/>
      <c r="F44" s="221"/>
      <c r="G44" s="221"/>
      <c r="H44" s="221"/>
      <c r="I44" s="221"/>
      <c r="J44" s="221"/>
      <c r="K44" s="221"/>
      <c r="L44" s="221"/>
      <c r="M44" s="221"/>
      <c r="N44" s="221"/>
      <c r="O44" s="221"/>
      <c r="P44" s="221"/>
    </row>
    <row r="45" spans="1:16">
      <c r="A45" s="221"/>
      <c r="B45" s="221"/>
      <c r="C45" s="221"/>
      <c r="D45" s="221"/>
      <c r="E45" s="221"/>
      <c r="F45" s="221"/>
      <c r="G45" s="221"/>
      <c r="H45" s="221"/>
      <c r="I45" s="221"/>
      <c r="J45" s="221"/>
      <c r="K45" s="221"/>
      <c r="L45" s="221"/>
      <c r="M45" s="221"/>
      <c r="N45" s="221"/>
      <c r="O45" s="221"/>
      <c r="P45" s="221"/>
    </row>
    <row r="46" spans="1:16">
      <c r="A46" s="221"/>
      <c r="B46" s="221"/>
      <c r="C46" s="221"/>
      <c r="D46" s="221"/>
      <c r="E46" s="221"/>
      <c r="F46" s="221"/>
      <c r="G46" s="221"/>
      <c r="H46" s="221"/>
      <c r="I46" s="221"/>
      <c r="J46" s="221"/>
      <c r="K46" s="221"/>
      <c r="L46" s="221"/>
      <c r="M46" s="221"/>
      <c r="N46" s="221"/>
      <c r="O46" s="221"/>
      <c r="P46" s="221"/>
    </row>
    <row r="47" spans="1:16">
      <c r="A47" s="221"/>
      <c r="B47" s="221"/>
      <c r="C47" s="221"/>
      <c r="D47" s="221"/>
      <c r="E47" s="221"/>
      <c r="F47" s="221"/>
      <c r="G47" s="221"/>
      <c r="H47" s="221"/>
      <c r="I47" s="221"/>
      <c r="J47" s="221"/>
      <c r="K47" s="221"/>
      <c r="L47" s="221"/>
      <c r="M47" s="221"/>
      <c r="N47" s="221"/>
      <c r="O47" s="221"/>
      <c r="P47" s="221"/>
    </row>
    <row r="48" spans="1:16">
      <c r="A48" s="221"/>
      <c r="B48" s="221"/>
      <c r="C48" s="221"/>
      <c r="D48" s="221"/>
      <c r="E48" s="221"/>
      <c r="F48" s="221"/>
      <c r="G48" s="221"/>
      <c r="H48" s="221"/>
      <c r="I48" s="221"/>
      <c r="J48" s="221"/>
      <c r="K48" s="221"/>
      <c r="L48" s="221"/>
      <c r="M48" s="221"/>
      <c r="N48" s="221"/>
      <c r="O48" s="221"/>
      <c r="P48" s="221"/>
    </row>
    <row r="49" spans="1:16">
      <c r="A49" s="221"/>
      <c r="B49" s="221"/>
      <c r="C49" s="221"/>
      <c r="D49" s="221"/>
      <c r="E49" s="221"/>
      <c r="F49" s="221"/>
      <c r="G49" s="221"/>
      <c r="H49" s="221"/>
      <c r="I49" s="221"/>
      <c r="J49" s="221"/>
      <c r="K49" s="221"/>
      <c r="L49" s="221"/>
      <c r="M49" s="221"/>
      <c r="N49" s="221"/>
      <c r="O49" s="221"/>
      <c r="P49" s="221"/>
    </row>
    <row r="50" spans="1:16">
      <c r="A50" s="221"/>
      <c r="B50" s="221"/>
      <c r="C50" s="221"/>
      <c r="D50" s="221"/>
      <c r="E50" s="221"/>
      <c r="F50" s="221"/>
      <c r="G50" s="221"/>
      <c r="H50" s="221"/>
      <c r="I50" s="221"/>
      <c r="J50" s="221"/>
      <c r="K50" s="221"/>
      <c r="L50" s="221"/>
      <c r="M50" s="221"/>
      <c r="N50" s="221"/>
      <c r="O50" s="221"/>
      <c r="P50" s="221"/>
    </row>
    <row r="51" spans="1:16">
      <c r="A51" s="221"/>
      <c r="B51" s="221"/>
      <c r="C51" s="221"/>
      <c r="D51" s="221"/>
      <c r="E51" s="221"/>
      <c r="F51" s="221"/>
      <c r="G51" s="221"/>
      <c r="H51" s="221"/>
      <c r="I51" s="221"/>
      <c r="J51" s="221"/>
      <c r="K51" s="221"/>
      <c r="L51" s="221"/>
      <c r="M51" s="221"/>
      <c r="N51" s="221"/>
      <c r="O51" s="221"/>
      <c r="P51" s="221"/>
    </row>
    <row r="52" spans="1:16">
      <c r="A52" s="221"/>
      <c r="B52" s="221"/>
      <c r="C52" s="221"/>
      <c r="D52" s="221"/>
      <c r="E52" s="221"/>
      <c r="F52" s="221"/>
      <c r="G52" s="221"/>
      <c r="H52" s="221"/>
      <c r="I52" s="221"/>
      <c r="J52" s="221"/>
      <c r="K52" s="221"/>
      <c r="L52" s="221"/>
      <c r="M52" s="221"/>
      <c r="N52" s="221"/>
      <c r="O52" s="221"/>
      <c r="P52" s="221"/>
    </row>
    <row r="53" spans="1:16">
      <c r="A53" s="221"/>
      <c r="B53" s="221"/>
      <c r="C53" s="221"/>
      <c r="D53" s="221"/>
      <c r="E53" s="221"/>
      <c r="F53" s="221"/>
      <c r="G53" s="221"/>
      <c r="H53" s="221"/>
      <c r="I53" s="221"/>
      <c r="J53" s="221"/>
      <c r="K53" s="221"/>
      <c r="L53" s="221"/>
      <c r="M53" s="221"/>
      <c r="N53" s="221"/>
      <c r="O53" s="221"/>
      <c r="P53" s="221"/>
    </row>
    <row r="54" spans="1:16">
      <c r="A54" s="221"/>
      <c r="B54" s="221"/>
      <c r="C54" s="221"/>
      <c r="D54" s="221"/>
      <c r="E54" s="221"/>
      <c r="F54" s="221"/>
      <c r="G54" s="221"/>
      <c r="H54" s="221"/>
      <c r="I54" s="221"/>
      <c r="J54" s="221"/>
      <c r="K54" s="221"/>
      <c r="L54" s="221"/>
      <c r="M54" s="221"/>
      <c r="N54" s="221"/>
      <c r="O54" s="221"/>
      <c r="P54" s="221"/>
    </row>
    <row r="55" spans="1:16">
      <c r="A55" s="221"/>
      <c r="B55" s="221"/>
      <c r="C55" s="221"/>
      <c r="D55" s="221"/>
      <c r="E55" s="221"/>
      <c r="F55" s="221"/>
      <c r="G55" s="221"/>
      <c r="H55" s="221"/>
      <c r="I55" s="221"/>
      <c r="J55" s="221"/>
      <c r="K55" s="221"/>
      <c r="L55" s="221"/>
      <c r="M55" s="221"/>
      <c r="N55" s="221"/>
      <c r="O55" s="221"/>
      <c r="P55" s="221"/>
    </row>
    <row r="56" spans="1:16">
      <c r="A56" s="221"/>
      <c r="B56" s="221"/>
      <c r="C56" s="221"/>
      <c r="D56" s="221"/>
      <c r="E56" s="221"/>
      <c r="F56" s="221"/>
      <c r="G56" s="221"/>
      <c r="H56" s="221"/>
      <c r="I56" s="221"/>
      <c r="J56" s="221"/>
      <c r="K56" s="221"/>
      <c r="L56" s="221"/>
      <c r="M56" s="221"/>
      <c r="N56" s="221"/>
      <c r="O56" s="221"/>
      <c r="P56" s="221"/>
    </row>
    <row r="57" spans="1:16">
      <c r="A57" s="221"/>
      <c r="B57" s="221"/>
      <c r="C57" s="221"/>
      <c r="D57" s="221"/>
      <c r="E57" s="221"/>
      <c r="F57" s="221"/>
      <c r="G57" s="221"/>
      <c r="H57" s="221"/>
      <c r="I57" s="221"/>
      <c r="J57" s="221"/>
      <c r="K57" s="221"/>
      <c r="L57" s="221"/>
      <c r="M57" s="221"/>
      <c r="N57" s="221"/>
      <c r="O57" s="221"/>
      <c r="P57" s="221"/>
    </row>
    <row r="58" spans="1:16">
      <c r="A58" s="221"/>
      <c r="B58" s="221"/>
      <c r="C58" s="221"/>
      <c r="D58" s="221"/>
      <c r="E58" s="221"/>
      <c r="F58" s="221"/>
      <c r="G58" s="221"/>
      <c r="H58" s="221"/>
      <c r="I58" s="221"/>
      <c r="J58" s="221"/>
      <c r="K58" s="221"/>
      <c r="L58" s="221"/>
      <c r="M58" s="221"/>
      <c r="N58" s="221"/>
      <c r="O58" s="221"/>
      <c r="P58" s="221"/>
    </row>
    <row r="59" spans="1:16">
      <c r="A59" s="221"/>
      <c r="B59" s="221"/>
      <c r="C59" s="221"/>
      <c r="D59" s="221"/>
      <c r="E59" s="221"/>
      <c r="F59" s="221"/>
      <c r="G59" s="221"/>
      <c r="H59" s="221"/>
      <c r="I59" s="221"/>
      <c r="J59" s="221"/>
      <c r="K59" s="221"/>
      <c r="L59" s="221"/>
      <c r="M59" s="221"/>
      <c r="N59" s="221"/>
      <c r="O59" s="221"/>
      <c r="P59" s="221"/>
    </row>
    <row r="60" spans="1:16">
      <c r="A60" s="221"/>
      <c r="B60" s="221"/>
      <c r="C60" s="221"/>
      <c r="D60" s="221"/>
      <c r="E60" s="221"/>
      <c r="F60" s="221"/>
      <c r="G60" s="221"/>
      <c r="H60" s="221"/>
      <c r="I60" s="221"/>
      <c r="J60" s="221"/>
      <c r="K60" s="221"/>
      <c r="L60" s="221"/>
      <c r="M60" s="221"/>
      <c r="N60" s="221"/>
      <c r="O60" s="221"/>
      <c r="P60" s="221"/>
    </row>
    <row r="61" spans="1:16">
      <c r="A61" s="221"/>
      <c r="B61" s="221"/>
      <c r="C61" s="221"/>
      <c r="D61" s="221"/>
      <c r="E61" s="221"/>
      <c r="F61" s="221"/>
      <c r="G61" s="221"/>
      <c r="H61" s="221"/>
      <c r="I61" s="221"/>
      <c r="J61" s="221"/>
      <c r="K61" s="221"/>
      <c r="L61" s="221"/>
      <c r="M61" s="221"/>
      <c r="N61" s="221"/>
      <c r="O61" s="221"/>
      <c r="P61" s="221"/>
    </row>
    <row r="62" spans="1:16">
      <c r="A62" s="221"/>
      <c r="B62" s="221"/>
      <c r="C62" s="221"/>
      <c r="D62" s="221"/>
      <c r="E62" s="221"/>
      <c r="F62" s="221"/>
      <c r="G62" s="221"/>
      <c r="H62" s="221"/>
      <c r="I62" s="221"/>
      <c r="J62" s="221"/>
      <c r="K62" s="221"/>
      <c r="L62" s="221"/>
      <c r="M62" s="221"/>
      <c r="N62" s="221"/>
      <c r="O62" s="221"/>
      <c r="P62" s="221"/>
    </row>
    <row r="63" spans="1:16">
      <c r="A63" s="221"/>
      <c r="B63" s="221"/>
      <c r="C63" s="221"/>
      <c r="D63" s="221"/>
      <c r="E63" s="221"/>
      <c r="F63" s="221"/>
      <c r="G63" s="221"/>
      <c r="H63" s="221"/>
      <c r="I63" s="221"/>
      <c r="J63" s="221"/>
      <c r="K63" s="221"/>
      <c r="L63" s="221"/>
      <c r="M63" s="221"/>
      <c r="N63" s="221"/>
      <c r="O63" s="221"/>
      <c r="P63" s="221"/>
    </row>
    <row r="64" spans="1:16">
      <c r="A64" s="221"/>
      <c r="B64" s="221"/>
      <c r="C64" s="221"/>
      <c r="D64" s="221"/>
      <c r="E64" s="221"/>
      <c r="F64" s="221"/>
      <c r="G64" s="221"/>
      <c r="H64" s="221"/>
      <c r="I64" s="221"/>
      <c r="J64" s="221"/>
      <c r="K64" s="221"/>
      <c r="L64" s="221"/>
      <c r="M64" s="221"/>
      <c r="N64" s="221"/>
      <c r="O64" s="221"/>
      <c r="P64" s="221"/>
    </row>
    <row r="65" spans="1:16">
      <c r="A65" s="221"/>
      <c r="B65" s="221"/>
      <c r="C65" s="221"/>
      <c r="D65" s="221"/>
      <c r="E65" s="221"/>
      <c r="F65" s="221"/>
      <c r="G65" s="221"/>
      <c r="H65" s="221"/>
      <c r="I65" s="221"/>
      <c r="J65" s="221"/>
      <c r="K65" s="221"/>
      <c r="L65" s="221"/>
      <c r="M65" s="221"/>
      <c r="N65" s="221"/>
      <c r="O65" s="221"/>
      <c r="P65" s="221"/>
    </row>
    <row r="66" spans="1:16">
      <c r="A66" s="221"/>
      <c r="B66" s="221"/>
      <c r="C66" s="221"/>
      <c r="D66" s="221"/>
      <c r="E66" s="221"/>
      <c r="F66" s="221"/>
      <c r="G66" s="221"/>
      <c r="H66" s="221"/>
      <c r="I66" s="221"/>
      <c r="J66" s="221"/>
      <c r="K66" s="221"/>
      <c r="L66" s="221"/>
      <c r="M66" s="221"/>
      <c r="N66" s="221"/>
      <c r="O66" s="221"/>
      <c r="P66" s="221"/>
    </row>
    <row r="67" spans="1:16">
      <c r="A67" s="221"/>
      <c r="B67" s="221"/>
      <c r="C67" s="221"/>
      <c r="D67" s="221"/>
      <c r="E67" s="221"/>
      <c r="F67" s="221"/>
      <c r="G67" s="221"/>
      <c r="H67" s="221"/>
      <c r="I67" s="221"/>
      <c r="J67" s="221"/>
      <c r="K67" s="221"/>
      <c r="L67" s="221"/>
      <c r="M67" s="221"/>
      <c r="N67" s="221"/>
      <c r="O67" s="221"/>
      <c r="P67" s="221"/>
    </row>
    <row r="68" spans="1:16">
      <c r="A68" s="221"/>
      <c r="B68" s="221"/>
      <c r="C68" s="221"/>
      <c r="D68" s="221"/>
      <c r="E68" s="221"/>
      <c r="F68" s="221"/>
      <c r="G68" s="221"/>
      <c r="H68" s="221"/>
      <c r="I68" s="221"/>
      <c r="J68" s="221"/>
      <c r="K68" s="221"/>
      <c r="L68" s="221"/>
      <c r="M68" s="221"/>
      <c r="N68" s="221"/>
      <c r="O68" s="221"/>
      <c r="P68" s="221"/>
    </row>
    <row r="69" spans="1:16">
      <c r="A69" s="221"/>
      <c r="B69" s="221"/>
      <c r="C69" s="221"/>
      <c r="D69" s="221"/>
      <c r="E69" s="221"/>
      <c r="F69" s="221"/>
      <c r="G69" s="221"/>
      <c r="H69" s="221"/>
      <c r="I69" s="221"/>
      <c r="J69" s="221"/>
      <c r="K69" s="221"/>
      <c r="L69" s="221"/>
      <c r="M69" s="221"/>
      <c r="N69" s="221"/>
      <c r="O69" s="221"/>
      <c r="P69" s="221"/>
    </row>
    <row r="70" spans="1:16">
      <c r="A70" s="221"/>
      <c r="B70" s="221"/>
      <c r="C70" s="221"/>
      <c r="D70" s="221"/>
      <c r="E70" s="221"/>
      <c r="F70" s="221"/>
      <c r="G70" s="221"/>
      <c r="H70" s="221"/>
      <c r="I70" s="221"/>
      <c r="J70" s="221"/>
      <c r="K70" s="221"/>
      <c r="L70" s="221"/>
      <c r="M70" s="221"/>
      <c r="N70" s="221"/>
      <c r="O70" s="221"/>
      <c r="P70" s="221"/>
    </row>
    <row r="71" spans="1:16">
      <c r="A71" s="221"/>
      <c r="B71" s="221"/>
      <c r="C71" s="221"/>
      <c r="D71" s="221"/>
      <c r="E71" s="221"/>
      <c r="F71" s="221"/>
      <c r="G71" s="221"/>
      <c r="H71" s="221"/>
      <c r="I71" s="221"/>
      <c r="J71" s="221"/>
      <c r="K71" s="221"/>
      <c r="L71" s="221"/>
      <c r="M71" s="221"/>
      <c r="N71" s="221"/>
      <c r="O71" s="221"/>
      <c r="P71" s="221"/>
    </row>
    <row r="72" spans="1:16">
      <c r="A72" s="221"/>
      <c r="B72" s="221"/>
      <c r="C72" s="221"/>
      <c r="D72" s="221"/>
      <c r="E72" s="221"/>
      <c r="F72" s="221"/>
      <c r="G72" s="221"/>
      <c r="H72" s="221"/>
      <c r="I72" s="221"/>
      <c r="J72" s="221"/>
      <c r="K72" s="221"/>
      <c r="L72" s="221"/>
      <c r="M72" s="221"/>
      <c r="N72" s="221"/>
      <c r="O72" s="221"/>
      <c r="P72" s="221"/>
    </row>
    <row r="73" spans="1:16">
      <c r="A73" s="221"/>
      <c r="B73" s="221"/>
      <c r="C73" s="221"/>
      <c r="D73" s="221"/>
      <c r="E73" s="221"/>
      <c r="F73" s="221"/>
      <c r="G73" s="221"/>
      <c r="H73" s="221"/>
      <c r="I73" s="221"/>
      <c r="J73" s="221"/>
      <c r="K73" s="221"/>
      <c r="L73" s="221"/>
      <c r="M73" s="221"/>
      <c r="N73" s="221"/>
      <c r="O73" s="221"/>
      <c r="P73" s="221"/>
    </row>
    <row r="74" spans="1:16">
      <c r="A74" s="221"/>
      <c r="B74" s="221"/>
      <c r="C74" s="221"/>
      <c r="D74" s="221"/>
      <c r="E74" s="221"/>
      <c r="F74" s="221"/>
      <c r="G74" s="221"/>
      <c r="H74" s="221"/>
      <c r="I74" s="221"/>
      <c r="J74" s="221"/>
      <c r="K74" s="221"/>
      <c r="L74" s="221"/>
      <c r="M74" s="221"/>
      <c r="N74" s="221"/>
      <c r="O74" s="221"/>
      <c r="P74" s="221"/>
    </row>
    <row r="75" spans="1:16">
      <c r="A75" s="221"/>
      <c r="B75" s="221"/>
      <c r="C75" s="221"/>
      <c r="D75" s="221"/>
      <c r="E75" s="221"/>
      <c r="F75" s="221"/>
      <c r="G75" s="221"/>
      <c r="H75" s="221"/>
      <c r="I75" s="221"/>
      <c r="J75" s="221"/>
      <c r="K75" s="221"/>
      <c r="L75" s="221"/>
      <c r="M75" s="221"/>
      <c r="N75" s="221"/>
      <c r="O75" s="221"/>
      <c r="P75" s="221"/>
    </row>
    <row r="76" spans="1:16">
      <c r="A76" s="221"/>
      <c r="B76" s="221"/>
      <c r="C76" s="221"/>
      <c r="D76" s="221"/>
      <c r="E76" s="221"/>
      <c r="F76" s="221"/>
      <c r="G76" s="221"/>
      <c r="H76" s="221"/>
      <c r="I76" s="221"/>
      <c r="J76" s="221"/>
      <c r="K76" s="221"/>
      <c r="L76" s="221"/>
      <c r="M76" s="221"/>
      <c r="N76" s="221"/>
      <c r="O76" s="221"/>
      <c r="P76" s="221"/>
    </row>
    <row r="77" spans="1:16">
      <c r="A77" s="221"/>
      <c r="B77" s="221"/>
      <c r="C77" s="221"/>
      <c r="D77" s="221"/>
      <c r="E77" s="221"/>
      <c r="F77" s="221"/>
      <c r="G77" s="221"/>
      <c r="H77" s="221"/>
      <c r="I77" s="221"/>
      <c r="J77" s="221"/>
      <c r="K77" s="221"/>
      <c r="L77" s="221"/>
      <c r="M77" s="221"/>
      <c r="N77" s="221"/>
      <c r="O77" s="221"/>
      <c r="P77" s="221"/>
    </row>
    <row r="78" spans="1:16">
      <c r="A78" s="221"/>
      <c r="B78" s="221"/>
      <c r="C78" s="221"/>
      <c r="D78" s="221"/>
      <c r="E78" s="221"/>
      <c r="F78" s="221"/>
      <c r="G78" s="221"/>
      <c r="H78" s="221"/>
      <c r="I78" s="221"/>
      <c r="J78" s="221"/>
      <c r="K78" s="221"/>
      <c r="L78" s="221"/>
      <c r="M78" s="221"/>
      <c r="N78" s="221"/>
      <c r="O78" s="221"/>
      <c r="P78" s="221"/>
    </row>
    <row r="79" spans="1:16">
      <c r="A79" s="221"/>
      <c r="B79" s="221"/>
      <c r="C79" s="221"/>
      <c r="D79" s="221"/>
      <c r="E79" s="221"/>
      <c r="F79" s="221"/>
      <c r="G79" s="221"/>
      <c r="H79" s="221"/>
      <c r="I79" s="221"/>
      <c r="J79" s="221"/>
      <c r="K79" s="221"/>
      <c r="L79" s="221"/>
      <c r="M79" s="221"/>
      <c r="N79" s="221"/>
      <c r="O79" s="221"/>
      <c r="P79" s="221"/>
    </row>
    <row r="80" spans="1:16">
      <c r="A80" s="221"/>
      <c r="B80" s="221"/>
      <c r="C80" s="221"/>
      <c r="D80" s="221"/>
      <c r="E80" s="221"/>
      <c r="F80" s="221"/>
      <c r="G80" s="221"/>
      <c r="H80" s="221"/>
      <c r="I80" s="221"/>
      <c r="J80" s="221"/>
      <c r="K80" s="221"/>
      <c r="L80" s="221"/>
      <c r="M80" s="221"/>
      <c r="N80" s="221"/>
      <c r="O80" s="221"/>
      <c r="P80" s="221"/>
    </row>
    <row r="81" spans="1:16">
      <c r="A81" s="221"/>
      <c r="B81" s="221"/>
      <c r="C81" s="221"/>
      <c r="D81" s="221"/>
      <c r="E81" s="221"/>
      <c r="F81" s="221"/>
      <c r="G81" s="221"/>
      <c r="H81" s="221"/>
      <c r="I81" s="221"/>
      <c r="J81" s="221"/>
      <c r="K81" s="221"/>
      <c r="L81" s="221"/>
      <c r="M81" s="221"/>
      <c r="N81" s="221"/>
      <c r="O81" s="221"/>
      <c r="P81" s="221"/>
    </row>
  </sheetData>
  <phoneticPr fontId="19" type="noConversion"/>
  <pageMargins left="1.1811023622047245" right="0.59055118110236227" top="1.3779527559055118" bottom="0.59055118110236227" header="0.51181102362204722" footer="0.51181102362204722"/>
  <pageSetup paperSize="5" scale="95" orientation="landscape" horizontalDpi="300" verticalDpi="300" r:id="rId1"/>
  <headerFooter alignWithMargins="0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42"/>
  <sheetViews>
    <sheetView topLeftCell="A4" zoomScale="75" workbookViewId="0">
      <selection activeCell="K8" sqref="K8:K12"/>
    </sheetView>
  </sheetViews>
  <sheetFormatPr baseColWidth="10" defaultRowHeight="12.75"/>
  <cols>
    <col min="1" max="1" width="16" customWidth="1"/>
    <col min="2" max="16" width="9" customWidth="1"/>
  </cols>
  <sheetData>
    <row r="1" spans="1:16" ht="15.75" customHeight="1">
      <c r="A1" s="4" t="s">
        <v>42</v>
      </c>
      <c r="B1" s="117"/>
      <c r="C1" s="117"/>
      <c r="D1" s="117"/>
      <c r="E1" s="117"/>
      <c r="F1" s="117"/>
      <c r="G1" s="1"/>
      <c r="H1" s="1"/>
      <c r="I1" s="1"/>
      <c r="J1" s="1"/>
      <c r="K1" s="1"/>
      <c r="L1" s="1"/>
      <c r="M1" s="1"/>
      <c r="N1" s="1"/>
      <c r="O1" s="1"/>
      <c r="P1" s="1"/>
    </row>
    <row r="2" spans="1:16" ht="15.75" customHeight="1">
      <c r="A2" s="83" t="s">
        <v>43</v>
      </c>
      <c r="B2" s="117"/>
      <c r="C2" s="117"/>
      <c r="D2" s="117"/>
      <c r="E2" s="117"/>
      <c r="F2" s="117"/>
      <c r="G2" s="1"/>
      <c r="H2" s="1"/>
      <c r="I2" s="1"/>
      <c r="J2" s="1"/>
      <c r="K2" s="1"/>
      <c r="L2" s="1"/>
      <c r="M2" s="1"/>
      <c r="N2" s="1"/>
      <c r="O2" s="1"/>
      <c r="P2" s="1"/>
    </row>
    <row r="3" spans="1:16" ht="15.75" customHeight="1">
      <c r="A3" s="4" t="s">
        <v>1460</v>
      </c>
      <c r="B3" s="117"/>
      <c r="C3" s="117"/>
      <c r="D3" s="117"/>
      <c r="E3" s="117"/>
      <c r="F3" s="117"/>
      <c r="G3" s="1"/>
      <c r="H3" s="1"/>
      <c r="I3" s="1"/>
      <c r="J3" s="1"/>
      <c r="K3" s="1"/>
      <c r="L3" s="1"/>
      <c r="M3" s="1"/>
      <c r="N3" s="1"/>
      <c r="O3" s="1"/>
      <c r="P3" s="1"/>
    </row>
    <row r="4" spans="1:16" ht="15.75" customHeight="1">
      <c r="A4" s="4"/>
      <c r="B4" s="117"/>
      <c r="C4" s="117"/>
      <c r="D4" s="117"/>
      <c r="E4" s="117"/>
      <c r="F4" s="117"/>
      <c r="G4" s="1"/>
      <c r="H4" s="1"/>
      <c r="I4" s="1"/>
      <c r="J4" s="1"/>
      <c r="K4" s="1"/>
      <c r="L4" s="1"/>
      <c r="M4" s="1"/>
      <c r="N4" s="1"/>
      <c r="O4" s="1"/>
      <c r="P4" s="1"/>
    </row>
    <row r="5" spans="1:16" ht="9.75" customHeight="1"/>
    <row r="6" spans="1:16" ht="22.5" customHeight="1">
      <c r="A6" s="65"/>
      <c r="B6" s="296" t="s">
        <v>44</v>
      </c>
      <c r="C6" s="296"/>
      <c r="D6" s="296"/>
      <c r="E6" s="296"/>
      <c r="F6" s="296"/>
      <c r="G6" s="280" t="s">
        <v>1284</v>
      </c>
      <c r="H6" s="296"/>
      <c r="I6" s="296"/>
      <c r="J6" s="296"/>
      <c r="K6" s="296"/>
      <c r="L6" s="280" t="s">
        <v>45</v>
      </c>
      <c r="M6" s="281"/>
      <c r="N6" s="281"/>
      <c r="O6" s="281"/>
      <c r="P6" s="281"/>
    </row>
    <row r="7" spans="1:16" ht="22.5" customHeight="1">
      <c r="A7" s="91" t="s">
        <v>27</v>
      </c>
      <c r="B7" s="711">
        <v>2010</v>
      </c>
      <c r="C7" s="711">
        <v>2011</v>
      </c>
      <c r="D7" s="711">
        <v>2012</v>
      </c>
      <c r="E7" s="711">
        <v>2013</v>
      </c>
      <c r="F7" s="711">
        <v>2014</v>
      </c>
      <c r="G7" s="711">
        <f t="shared" ref="G7:P7" si="0">+B7</f>
        <v>2010</v>
      </c>
      <c r="H7" s="711">
        <f t="shared" si="0"/>
        <v>2011</v>
      </c>
      <c r="I7" s="711">
        <f t="shared" si="0"/>
        <v>2012</v>
      </c>
      <c r="J7" s="711">
        <f t="shared" si="0"/>
        <v>2013</v>
      </c>
      <c r="K7" s="711">
        <f t="shared" si="0"/>
        <v>2014</v>
      </c>
      <c r="L7" s="711">
        <f t="shared" si="0"/>
        <v>2010</v>
      </c>
      <c r="M7" s="711">
        <f t="shared" si="0"/>
        <v>2011</v>
      </c>
      <c r="N7" s="711">
        <f t="shared" si="0"/>
        <v>2012</v>
      </c>
      <c r="O7" s="711">
        <f t="shared" si="0"/>
        <v>2013</v>
      </c>
      <c r="P7" s="711">
        <f t="shared" si="0"/>
        <v>2014</v>
      </c>
    </row>
    <row r="8" spans="1:16" ht="22.5" customHeight="1">
      <c r="A8" s="346" t="s">
        <v>34</v>
      </c>
      <c r="B8" s="712">
        <v>78382</v>
      </c>
      <c r="C8" s="712">
        <v>79924</v>
      </c>
      <c r="D8" s="712">
        <v>83883</v>
      </c>
      <c r="E8" s="712">
        <v>83498</v>
      </c>
      <c r="F8" s="162">
        <f>+'76'!K8</f>
        <v>78551</v>
      </c>
      <c r="G8" s="704">
        <v>38743</v>
      </c>
      <c r="H8" s="704">
        <v>38896</v>
      </c>
      <c r="I8" s="704">
        <v>39046</v>
      </c>
      <c r="J8" s="705">
        <v>39202</v>
      </c>
      <c r="K8" s="704">
        <f>SUM('8'!D87:G87)</f>
        <v>39357</v>
      </c>
      <c r="L8" s="1121">
        <f t="shared" ref="L8:P12" si="1">+B8/G8</f>
        <v>2.0231267583821593</v>
      </c>
      <c r="M8" s="713">
        <f t="shared" si="1"/>
        <v>2.0548128342245988</v>
      </c>
      <c r="N8" s="713">
        <f t="shared" si="1"/>
        <v>2.1483122470931724</v>
      </c>
      <c r="O8" s="713">
        <f t="shared" si="1"/>
        <v>2.1299423498801082</v>
      </c>
      <c r="P8" s="713">
        <f t="shared" si="1"/>
        <v>1.9958584241685087</v>
      </c>
    </row>
    <row r="9" spans="1:16" ht="22.5" customHeight="1">
      <c r="A9" s="95" t="s">
        <v>35</v>
      </c>
      <c r="B9" s="714">
        <v>53902</v>
      </c>
      <c r="C9" s="714">
        <v>53697</v>
      </c>
      <c r="D9" s="714">
        <v>57235</v>
      </c>
      <c r="E9" s="714">
        <v>53736</v>
      </c>
      <c r="F9" s="162">
        <f>+'76'!K9</f>
        <v>50220</v>
      </c>
      <c r="G9" s="163">
        <v>44159</v>
      </c>
      <c r="H9" s="163">
        <v>43565</v>
      </c>
      <c r="I9" s="163">
        <v>42968</v>
      </c>
      <c r="J9" s="707">
        <v>42378</v>
      </c>
      <c r="K9" s="163">
        <f>SUM('8'!H87:I87)</f>
        <v>41783</v>
      </c>
      <c r="L9" s="1120">
        <f t="shared" si="1"/>
        <v>1.2206345252383433</v>
      </c>
      <c r="M9" s="715">
        <f t="shared" si="1"/>
        <v>1.2325720188224492</v>
      </c>
      <c r="N9" s="715">
        <f t="shared" si="1"/>
        <v>1.3320377955687954</v>
      </c>
      <c r="O9" s="715">
        <f t="shared" si="1"/>
        <v>1.2680164236160272</v>
      </c>
      <c r="P9" s="715">
        <f t="shared" si="1"/>
        <v>1.2019242275566617</v>
      </c>
    </row>
    <row r="10" spans="1:16" ht="22.5" customHeight="1">
      <c r="A10" s="95" t="s">
        <v>36</v>
      </c>
      <c r="B10" s="714">
        <v>17952</v>
      </c>
      <c r="C10" s="714">
        <v>17855</v>
      </c>
      <c r="D10" s="714">
        <v>17796</v>
      </c>
      <c r="E10" s="714">
        <v>19058</v>
      </c>
      <c r="F10" s="162">
        <f>+'76'!K10</f>
        <v>19753</v>
      </c>
      <c r="G10" s="163"/>
      <c r="H10" s="163"/>
      <c r="I10" s="163"/>
      <c r="J10" s="707"/>
      <c r="K10" s="163"/>
      <c r="L10" s="1120"/>
      <c r="M10" s="716"/>
      <c r="N10" s="715"/>
      <c r="O10" s="716"/>
      <c r="P10" s="716"/>
    </row>
    <row r="11" spans="1:16" ht="22.5" customHeight="1">
      <c r="A11" s="95" t="s">
        <v>37</v>
      </c>
      <c r="B11" s="714">
        <v>146024</v>
      </c>
      <c r="C11" s="714">
        <v>153267</v>
      </c>
      <c r="D11" s="714">
        <v>165686</v>
      </c>
      <c r="E11" s="714">
        <v>157446</v>
      </c>
      <c r="F11" s="162">
        <f>+'76'!K11</f>
        <v>150781</v>
      </c>
      <c r="G11" s="163">
        <v>153682</v>
      </c>
      <c r="H11" s="163">
        <v>156006</v>
      </c>
      <c r="I11" s="163">
        <v>158330</v>
      </c>
      <c r="J11" s="707">
        <v>160659</v>
      </c>
      <c r="K11" s="163">
        <f>SUM('8'!J87:K87)</f>
        <v>162986</v>
      </c>
      <c r="L11" s="1120">
        <f t="shared" si="1"/>
        <v>0.95016983120990095</v>
      </c>
      <c r="M11" s="715">
        <f t="shared" si="1"/>
        <v>0.98244298296219379</v>
      </c>
      <c r="N11" s="715">
        <f t="shared" si="1"/>
        <v>1.0464599254721152</v>
      </c>
      <c r="O11" s="715">
        <f t="shared" si="1"/>
        <v>0.98000112038541254</v>
      </c>
      <c r="P11" s="715">
        <f t="shared" si="1"/>
        <v>0.92511626765489063</v>
      </c>
    </row>
    <row r="12" spans="1:16" ht="22.5" customHeight="1">
      <c r="A12" s="95" t="s">
        <v>38</v>
      </c>
      <c r="B12" s="714">
        <v>33234</v>
      </c>
      <c r="C12" s="714">
        <v>33447</v>
      </c>
      <c r="D12" s="714">
        <v>36680</v>
      </c>
      <c r="E12" s="714">
        <v>36716</v>
      </c>
      <c r="F12" s="162">
        <f>+'76'!K12</f>
        <v>37981</v>
      </c>
      <c r="G12" s="163">
        <v>25301</v>
      </c>
      <c r="H12" s="163">
        <v>26435</v>
      </c>
      <c r="I12" s="163">
        <v>27568</v>
      </c>
      <c r="J12" s="707">
        <v>28708</v>
      </c>
      <c r="K12" s="163">
        <f>+'8'!L87</f>
        <v>29842</v>
      </c>
      <c r="L12" s="1120">
        <f t="shared" si="1"/>
        <v>1.3135449191731552</v>
      </c>
      <c r="M12" s="715">
        <f t="shared" ref="M12:P13" si="2">+C12/H12</f>
        <v>1.2652543975789672</v>
      </c>
      <c r="N12" s="715">
        <f t="shared" si="2"/>
        <v>1.3305281485780616</v>
      </c>
      <c r="O12" s="715">
        <f t="shared" si="2"/>
        <v>1.2789466350842971</v>
      </c>
      <c r="P12" s="715">
        <f t="shared" si="2"/>
        <v>1.2727364117686482</v>
      </c>
    </row>
    <row r="13" spans="1:16" ht="22.5" customHeight="1">
      <c r="A13" s="15" t="s">
        <v>819</v>
      </c>
      <c r="B13" s="717">
        <f>SUM(B8:B12)</f>
        <v>329494</v>
      </c>
      <c r="C13" s="717">
        <f>SUM(C8:C12)</f>
        <v>338190</v>
      </c>
      <c r="D13" s="717">
        <f>SUM(D8:D12)</f>
        <v>361280</v>
      </c>
      <c r="E13" s="717">
        <f>SUM(E8:E12)</f>
        <v>350454</v>
      </c>
      <c r="F13" s="718">
        <f>SUM(F8:F12)</f>
        <v>337286</v>
      </c>
      <c r="G13" s="717">
        <f>SUM(G8:G12)-G10</f>
        <v>261885</v>
      </c>
      <c r="H13" s="717">
        <f>SUM(H8:H12)-H10</f>
        <v>264902</v>
      </c>
      <c r="I13" s="167">
        <f>SUM(I8:I12)-I10</f>
        <v>267912</v>
      </c>
      <c r="J13" s="167">
        <f>SUM(J8:J12)-J10</f>
        <v>270947</v>
      </c>
      <c r="K13" s="167">
        <f>SUM(K8:K12)-K10</f>
        <v>273968</v>
      </c>
      <c r="L13" s="719">
        <f>+B13/G13</f>
        <v>1.2581629341123013</v>
      </c>
      <c r="M13" s="719">
        <f>+C13/H13</f>
        <v>1.2766608028629456</v>
      </c>
      <c r="N13" s="719">
        <f t="shared" si="2"/>
        <v>1.3485024933560275</v>
      </c>
      <c r="O13" s="719">
        <f t="shared" si="2"/>
        <v>1.2934411526977601</v>
      </c>
      <c r="P13" s="719">
        <f t="shared" si="2"/>
        <v>1.2311145827249899</v>
      </c>
    </row>
    <row r="14" spans="1:16" ht="17.25" customHeight="1">
      <c r="A14" s="311"/>
      <c r="B14" s="96"/>
      <c r="C14" s="96"/>
      <c r="D14" s="96"/>
      <c r="E14" s="96"/>
      <c r="F14" s="96"/>
      <c r="G14" s="96"/>
      <c r="H14" s="96"/>
      <c r="I14" s="96"/>
      <c r="J14" s="96"/>
      <c r="K14" s="96"/>
      <c r="L14" s="720"/>
      <c r="M14" s="720"/>
      <c r="N14" s="720"/>
      <c r="O14" s="720"/>
      <c r="P14" s="720"/>
    </row>
    <row r="15" spans="1:16" ht="18" customHeight="1">
      <c r="A15" s="311"/>
      <c r="B15" s="96"/>
      <c r="C15" s="721"/>
      <c r="D15" s="96"/>
      <c r="E15" s="96"/>
      <c r="F15" s="96"/>
      <c r="G15" s="722"/>
      <c r="H15" s="96"/>
      <c r="I15" s="96"/>
      <c r="J15" s="96"/>
      <c r="K15" s="96"/>
      <c r="L15" s="720"/>
      <c r="M15" s="720"/>
      <c r="N15" s="720"/>
      <c r="O15" s="720"/>
      <c r="P15" s="720"/>
    </row>
    <row r="16" spans="1:16" ht="16.5" customHeight="1">
      <c r="G16" s="722"/>
    </row>
    <row r="17" spans="1:6">
      <c r="A17" s="6"/>
      <c r="B17" s="6"/>
      <c r="C17" s="6"/>
      <c r="D17" s="6"/>
      <c r="E17" s="6"/>
      <c r="F17" s="6"/>
    </row>
    <row r="18" spans="1:6">
      <c r="A18" s="6"/>
      <c r="B18" s="6"/>
      <c r="C18" s="6"/>
      <c r="D18" s="6"/>
      <c r="E18" s="6"/>
      <c r="F18" s="6"/>
    </row>
    <row r="19" spans="1:6">
      <c r="A19" s="6"/>
      <c r="B19" s="6"/>
      <c r="C19" s="6"/>
      <c r="D19" s="6"/>
      <c r="E19" s="6"/>
      <c r="F19" s="6"/>
    </row>
    <row r="20" spans="1:6">
      <c r="A20" s="6"/>
      <c r="B20" s="6"/>
      <c r="C20" s="6"/>
      <c r="D20" s="6"/>
      <c r="E20" s="6"/>
      <c r="F20" s="6"/>
    </row>
    <row r="21" spans="1:6">
      <c r="A21" s="6"/>
      <c r="B21" s="6"/>
      <c r="C21" s="6"/>
      <c r="D21" s="6"/>
      <c r="E21" s="6"/>
      <c r="F21" s="6"/>
    </row>
    <row r="22" spans="1:6">
      <c r="A22" s="6"/>
      <c r="B22" s="6"/>
      <c r="C22" s="6"/>
      <c r="D22" s="6"/>
      <c r="E22" s="6"/>
      <c r="F22" s="6"/>
    </row>
    <row r="23" spans="1:6">
      <c r="A23" s="6"/>
      <c r="B23" s="6"/>
      <c r="C23" s="6"/>
      <c r="D23" s="6"/>
      <c r="E23" s="6"/>
      <c r="F23" s="6"/>
    </row>
    <row r="24" spans="1:6">
      <c r="A24" s="6"/>
      <c r="B24" s="6"/>
      <c r="C24" s="6"/>
      <c r="D24" s="6"/>
      <c r="E24" s="6"/>
      <c r="F24" s="6"/>
    </row>
    <row r="25" spans="1:6">
      <c r="A25" s="6"/>
      <c r="B25" s="6"/>
      <c r="C25" s="6"/>
      <c r="D25" s="6"/>
      <c r="E25" s="6"/>
      <c r="F25" s="6"/>
    </row>
    <row r="26" spans="1:6">
      <c r="A26" s="6"/>
      <c r="B26" s="6"/>
      <c r="C26" s="6"/>
      <c r="D26" s="6"/>
      <c r="E26" s="6"/>
      <c r="F26" s="6"/>
    </row>
    <row r="27" spans="1:6">
      <c r="A27" s="6"/>
      <c r="B27" s="6"/>
      <c r="C27" s="6"/>
      <c r="D27" s="6"/>
      <c r="E27" s="6"/>
      <c r="F27" s="6"/>
    </row>
    <row r="28" spans="1:6">
      <c r="A28" s="6"/>
      <c r="B28" s="6"/>
      <c r="C28" s="6"/>
      <c r="D28" s="6"/>
      <c r="E28" s="6"/>
      <c r="F28" s="6"/>
    </row>
    <row r="29" spans="1:6">
      <c r="A29" s="6"/>
      <c r="B29" s="6"/>
      <c r="C29" s="6"/>
      <c r="D29" s="6"/>
      <c r="E29" s="6"/>
      <c r="F29" s="6"/>
    </row>
    <row r="30" spans="1:6">
      <c r="A30" s="6"/>
      <c r="B30" s="6"/>
      <c r="C30" s="6"/>
      <c r="D30" s="6"/>
      <c r="E30" s="6"/>
      <c r="F30" s="6"/>
    </row>
    <row r="31" spans="1:6">
      <c r="A31" s="6"/>
      <c r="B31" s="6"/>
      <c r="C31" s="6"/>
      <c r="D31" s="6"/>
      <c r="E31" s="6"/>
      <c r="F31" s="6"/>
    </row>
    <row r="32" spans="1:6">
      <c r="A32" s="6"/>
      <c r="B32" s="6"/>
      <c r="C32" s="6"/>
      <c r="D32" s="6"/>
      <c r="E32" s="6"/>
      <c r="F32" s="6"/>
    </row>
    <row r="33" spans="1:6">
      <c r="A33" s="6"/>
      <c r="B33" s="6"/>
      <c r="C33" s="6"/>
      <c r="D33" s="6"/>
      <c r="E33" s="6"/>
      <c r="F33" s="6"/>
    </row>
    <row r="34" spans="1:6">
      <c r="A34" s="6"/>
      <c r="B34" s="6"/>
      <c r="C34" s="6"/>
      <c r="D34" s="6"/>
      <c r="E34" s="6"/>
      <c r="F34" s="6"/>
    </row>
    <row r="35" spans="1:6">
      <c r="A35" s="6"/>
      <c r="B35" s="6"/>
      <c r="C35" s="6"/>
      <c r="D35" s="6"/>
      <c r="E35" s="6"/>
      <c r="F35" s="6"/>
    </row>
    <row r="36" spans="1:6">
      <c r="A36" s="6"/>
      <c r="B36" s="6"/>
      <c r="C36" s="6"/>
      <c r="D36" s="6"/>
      <c r="E36" s="6"/>
      <c r="F36" s="6"/>
    </row>
    <row r="37" spans="1:6">
      <c r="A37" s="6"/>
      <c r="B37" s="6"/>
      <c r="C37" s="6"/>
      <c r="D37" s="6"/>
      <c r="E37" s="6"/>
      <c r="F37" s="6"/>
    </row>
    <row r="38" spans="1:6">
      <c r="A38" s="6"/>
      <c r="B38" s="6"/>
      <c r="C38" s="6"/>
      <c r="D38" s="6"/>
      <c r="E38" s="6"/>
      <c r="F38" s="6"/>
    </row>
    <row r="39" spans="1:6">
      <c r="A39" s="6"/>
      <c r="B39" s="6"/>
      <c r="C39" s="6"/>
      <c r="D39" s="6"/>
      <c r="E39" s="6"/>
      <c r="F39" s="6"/>
    </row>
    <row r="40" spans="1:6">
      <c r="A40" s="6"/>
      <c r="B40" s="6"/>
      <c r="C40" s="6"/>
      <c r="D40" s="6"/>
      <c r="E40" s="6"/>
      <c r="F40" s="6"/>
    </row>
    <row r="41" spans="1:6">
      <c r="A41" s="6"/>
      <c r="B41" s="6"/>
      <c r="C41" s="6"/>
      <c r="D41" s="6"/>
      <c r="E41" s="6"/>
      <c r="F41" s="6"/>
    </row>
    <row r="42" spans="1:6">
      <c r="A42" s="6"/>
      <c r="B42" s="6"/>
      <c r="C42" s="6"/>
      <c r="D42" s="6"/>
      <c r="E42" s="6"/>
      <c r="F42" s="6"/>
    </row>
  </sheetData>
  <phoneticPr fontId="19" type="noConversion"/>
  <pageMargins left="1.9685039370078741" right="0.19685039370078741" top="0.59055118110236227" bottom="0.59055118110236227" header="0.51181102362204722" footer="0.51181102362204722"/>
  <pageSetup paperSize="5" scale="85" orientation="landscape" horizontalDpi="300" verticalDpi="300" r:id="rId1"/>
  <headerFooter alignWithMargins="0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43"/>
  <sheetViews>
    <sheetView topLeftCell="A10" workbookViewId="0">
      <selection activeCell="I14" sqref="I14"/>
    </sheetView>
  </sheetViews>
  <sheetFormatPr baseColWidth="10" defaultRowHeight="12.75"/>
  <cols>
    <col min="1" max="1" width="23" customWidth="1"/>
    <col min="2" max="5" width="8" style="243" customWidth="1"/>
    <col min="6" max="6" width="7.85546875" style="243" customWidth="1"/>
    <col min="7" max="7" width="7.85546875" customWidth="1"/>
  </cols>
  <sheetData>
    <row r="1" spans="1:12">
      <c r="A1" s="1287" t="s">
        <v>46</v>
      </c>
      <c r="B1" s="1287"/>
      <c r="C1" s="1287"/>
      <c r="D1" s="1287"/>
      <c r="E1" s="1287"/>
      <c r="F1" s="1287"/>
      <c r="G1" s="1287"/>
    </row>
    <row r="2" spans="1:12">
      <c r="A2" s="83"/>
      <c r="B2" s="723"/>
      <c r="C2" s="723"/>
      <c r="D2" s="723"/>
      <c r="E2" s="723"/>
      <c r="F2" s="723"/>
    </row>
    <row r="3" spans="1:12">
      <c r="A3" s="1287" t="s">
        <v>43</v>
      </c>
      <c r="B3" s="1287"/>
      <c r="C3" s="1287"/>
      <c r="D3" s="1287"/>
      <c r="E3" s="1287"/>
      <c r="F3" s="1287"/>
      <c r="G3" s="1287"/>
    </row>
    <row r="4" spans="1:12">
      <c r="A4" s="117"/>
      <c r="B4" s="723"/>
      <c r="C4" s="723"/>
      <c r="D4" s="723"/>
      <c r="E4" s="723"/>
      <c r="F4" s="723"/>
    </row>
    <row r="5" spans="1:12">
      <c r="A5" s="117"/>
      <c r="B5" s="723"/>
      <c r="C5" s="723"/>
      <c r="D5" s="723"/>
      <c r="E5" s="723"/>
      <c r="F5" s="723"/>
    </row>
    <row r="6" spans="1:12">
      <c r="A6" s="117"/>
      <c r="B6" s="723"/>
      <c r="C6" s="723"/>
      <c r="D6" s="723"/>
      <c r="E6" s="723"/>
      <c r="F6" s="723"/>
    </row>
    <row r="7" spans="1:12" ht="21" customHeight="1">
      <c r="A7" s="68" t="s">
        <v>926</v>
      </c>
      <c r="B7" s="51">
        <v>2009</v>
      </c>
      <c r="C7" s="51">
        <v>2010</v>
      </c>
      <c r="D7" s="51">
        <v>2011</v>
      </c>
      <c r="E7" s="51">
        <v>2012</v>
      </c>
      <c r="F7" s="51">
        <v>2013</v>
      </c>
      <c r="G7" s="51">
        <v>2014</v>
      </c>
    </row>
    <row r="8" spans="1:12" ht="21" customHeight="1">
      <c r="A8" s="68" t="s">
        <v>47</v>
      </c>
      <c r="B8" s="73">
        <v>84885</v>
      </c>
      <c r="C8" s="73">
        <v>73927</v>
      </c>
      <c r="D8" s="73">
        <v>73993</v>
      </c>
      <c r="E8" s="73">
        <v>81333</v>
      </c>
      <c r="F8" s="73">
        <v>78294</v>
      </c>
      <c r="G8" s="73">
        <f>+'76'!C13</f>
        <v>80758</v>
      </c>
      <c r="J8" t="s">
        <v>48</v>
      </c>
      <c r="L8" s="157">
        <f>+G8/$G$16*100</f>
        <v>23.943478235088321</v>
      </c>
    </row>
    <row r="9" spans="1:12" ht="21" customHeight="1">
      <c r="A9" s="68" t="s">
        <v>49</v>
      </c>
      <c r="B9" s="73">
        <v>100404</v>
      </c>
      <c r="C9" s="73">
        <v>103552</v>
      </c>
      <c r="D9" s="73">
        <v>100835</v>
      </c>
      <c r="E9" s="73">
        <v>97908</v>
      </c>
      <c r="F9" s="73">
        <v>96920</v>
      </c>
      <c r="G9" s="73">
        <f>+'76'!D13</f>
        <v>88207</v>
      </c>
      <c r="J9" t="s">
        <v>50</v>
      </c>
      <c r="L9" s="157">
        <f t="shared" ref="L9:L15" si="0">+G9/$G$16*100</f>
        <v>26.151989706065475</v>
      </c>
    </row>
    <row r="10" spans="1:12" ht="21" customHeight="1">
      <c r="A10" s="68" t="s">
        <v>51</v>
      </c>
      <c r="B10" s="73">
        <v>51409</v>
      </c>
      <c r="C10" s="73">
        <v>51024</v>
      </c>
      <c r="D10" s="73">
        <v>50322</v>
      </c>
      <c r="E10" s="73">
        <v>51379</v>
      </c>
      <c r="F10" s="73">
        <v>51521</v>
      </c>
      <c r="G10" s="73">
        <f>+'76'!E13</f>
        <v>49742</v>
      </c>
      <c r="J10" t="s">
        <v>52</v>
      </c>
      <c r="L10" s="157">
        <f t="shared" si="0"/>
        <v>14.747721518236748</v>
      </c>
    </row>
    <row r="11" spans="1:12" ht="21" customHeight="1">
      <c r="A11" s="68" t="s">
        <v>53</v>
      </c>
      <c r="B11" s="73">
        <v>3188</v>
      </c>
      <c r="C11" s="73">
        <v>2681</v>
      </c>
      <c r="D11" s="73">
        <v>2634</v>
      </c>
      <c r="E11" s="73">
        <v>2674</v>
      </c>
      <c r="F11" s="73">
        <v>2782</v>
      </c>
      <c r="G11" s="73">
        <f>+'76'!G13</f>
        <v>3610</v>
      </c>
      <c r="J11" t="s">
        <v>54</v>
      </c>
      <c r="L11" s="157">
        <f t="shared" si="0"/>
        <v>1.0703082843640115</v>
      </c>
    </row>
    <row r="12" spans="1:12" ht="21" customHeight="1">
      <c r="A12" s="68" t="s">
        <v>55</v>
      </c>
      <c r="B12" s="73">
        <v>26902</v>
      </c>
      <c r="C12" s="73">
        <v>26465</v>
      </c>
      <c r="D12" s="73">
        <v>27369</v>
      </c>
      <c r="E12" s="73">
        <v>27929</v>
      </c>
      <c r="F12" s="73">
        <v>27349</v>
      </c>
      <c r="G12" s="73">
        <f>+'76'!F13</f>
        <v>24735</v>
      </c>
      <c r="J12" t="s">
        <v>489</v>
      </c>
      <c r="L12" s="157">
        <f t="shared" si="0"/>
        <v>7.3335388957739127</v>
      </c>
    </row>
    <row r="13" spans="1:12" ht="21" customHeight="1">
      <c r="A13" s="68" t="s">
        <v>56</v>
      </c>
      <c r="B13" s="73">
        <v>28792</v>
      </c>
      <c r="C13" s="73">
        <v>28546</v>
      </c>
      <c r="D13" s="73">
        <v>28293</v>
      </c>
      <c r="E13" s="73">
        <v>32057</v>
      </c>
      <c r="F13" s="73">
        <v>33323</v>
      </c>
      <c r="G13" s="73">
        <f>+'76'!I13</f>
        <v>27288</v>
      </c>
      <c r="J13" t="s">
        <v>57</v>
      </c>
      <c r="L13" s="157">
        <f t="shared" si="0"/>
        <v>8.090463286350456</v>
      </c>
    </row>
    <row r="14" spans="1:12" ht="21" customHeight="1">
      <c r="A14" s="68" t="s">
        <v>58</v>
      </c>
      <c r="B14" s="73">
        <v>28438</v>
      </c>
      <c r="C14" s="73">
        <v>25818</v>
      </c>
      <c r="D14" s="73">
        <v>30684</v>
      </c>
      <c r="E14" s="73">
        <v>31302</v>
      </c>
      <c r="F14" s="73">
        <v>27799</v>
      </c>
      <c r="G14" s="73">
        <f>+'76'!H13</f>
        <v>30851</v>
      </c>
      <c r="J14" t="s">
        <v>59</v>
      </c>
      <c r="L14" s="157">
        <f t="shared" si="0"/>
        <v>9.1468368091174845</v>
      </c>
    </row>
    <row r="15" spans="1:12" ht="21" customHeight="1">
      <c r="A15" s="68" t="s">
        <v>60</v>
      </c>
      <c r="B15" s="73">
        <v>18525</v>
      </c>
      <c r="C15" s="73">
        <v>17481</v>
      </c>
      <c r="D15" s="73">
        <v>24060</v>
      </c>
      <c r="E15" s="73">
        <v>36698</v>
      </c>
      <c r="F15" s="73">
        <v>32466</v>
      </c>
      <c r="G15" s="73">
        <f>+'76'!J13</f>
        <v>32095</v>
      </c>
      <c r="J15" t="s">
        <v>61</v>
      </c>
      <c r="L15" s="157">
        <f t="shared" si="0"/>
        <v>9.5156632650035871</v>
      </c>
    </row>
    <row r="16" spans="1:12" ht="21" customHeight="1">
      <c r="A16" s="68" t="s">
        <v>571</v>
      </c>
      <c r="B16" s="73">
        <f t="shared" ref="B16:G16" si="1">SUM(B8:B15)</f>
        <v>342543</v>
      </c>
      <c r="C16" s="73">
        <f t="shared" si="1"/>
        <v>329494</v>
      </c>
      <c r="D16" s="73">
        <f t="shared" si="1"/>
        <v>338190</v>
      </c>
      <c r="E16" s="73">
        <f t="shared" si="1"/>
        <v>361280</v>
      </c>
      <c r="F16" s="73">
        <f t="shared" si="1"/>
        <v>350454</v>
      </c>
      <c r="G16" s="73">
        <f t="shared" si="1"/>
        <v>337286</v>
      </c>
    </row>
    <row r="17" spans="1:6">
      <c r="A17" s="6"/>
      <c r="B17" s="724"/>
      <c r="C17" s="724"/>
      <c r="D17" s="724"/>
      <c r="E17" s="724"/>
      <c r="F17" s="724"/>
    </row>
    <row r="18" spans="1:6">
      <c r="A18" s="6"/>
      <c r="B18" s="724"/>
      <c r="C18" s="724"/>
      <c r="D18" s="724"/>
      <c r="E18" s="724"/>
      <c r="F18" s="724"/>
    </row>
    <row r="19" spans="1:6">
      <c r="A19" s="6"/>
      <c r="B19" s="724"/>
      <c r="C19" s="724"/>
      <c r="D19" s="724"/>
      <c r="E19" s="724"/>
      <c r="F19" s="724"/>
    </row>
    <row r="20" spans="1:6">
      <c r="A20" s="6"/>
      <c r="B20" s="724"/>
      <c r="C20" s="724"/>
      <c r="D20" s="724"/>
      <c r="E20" s="724"/>
      <c r="F20" s="724"/>
    </row>
    <row r="21" spans="1:6">
      <c r="A21" s="6"/>
      <c r="B21" s="724"/>
      <c r="C21" s="724"/>
      <c r="D21" s="724"/>
      <c r="E21" s="724"/>
      <c r="F21" s="724"/>
    </row>
    <row r="22" spans="1:6">
      <c r="A22" s="6"/>
      <c r="B22" s="724"/>
      <c r="C22" s="724"/>
      <c r="D22" s="724"/>
      <c r="E22" s="724"/>
      <c r="F22" s="724"/>
    </row>
    <row r="23" spans="1:6">
      <c r="A23" s="6"/>
      <c r="B23" s="724"/>
      <c r="C23" s="724"/>
      <c r="D23" s="724"/>
      <c r="E23" s="724"/>
      <c r="F23" s="724"/>
    </row>
    <row r="24" spans="1:6">
      <c r="A24" s="6"/>
      <c r="B24" s="724"/>
      <c r="C24" s="724"/>
      <c r="D24" s="724"/>
      <c r="E24" s="724"/>
      <c r="F24" s="724"/>
    </row>
    <row r="25" spans="1:6">
      <c r="A25" s="6"/>
      <c r="B25" s="724"/>
      <c r="C25" s="724"/>
      <c r="D25" s="724"/>
      <c r="E25" s="724"/>
      <c r="F25" s="724"/>
    </row>
    <row r="26" spans="1:6">
      <c r="A26" s="6"/>
      <c r="B26" s="724"/>
      <c r="C26" s="724"/>
      <c r="D26" s="724"/>
      <c r="E26" s="724"/>
      <c r="F26" s="724"/>
    </row>
    <row r="27" spans="1:6">
      <c r="A27" s="6"/>
      <c r="B27" s="724"/>
      <c r="C27" s="724"/>
      <c r="D27" s="724"/>
      <c r="E27" s="724"/>
      <c r="F27" s="724"/>
    </row>
    <row r="28" spans="1:6">
      <c r="A28" s="6"/>
      <c r="B28" s="724"/>
      <c r="C28" s="724"/>
      <c r="D28" s="724"/>
      <c r="E28" s="724"/>
      <c r="F28" s="724"/>
    </row>
    <row r="29" spans="1:6">
      <c r="A29" s="6"/>
      <c r="B29" s="724"/>
      <c r="C29" s="724"/>
      <c r="D29" s="724"/>
      <c r="E29" s="724"/>
      <c r="F29" s="724"/>
    </row>
    <row r="30" spans="1:6">
      <c r="A30" s="6"/>
      <c r="B30" s="724"/>
      <c r="C30" s="724"/>
      <c r="D30" s="724"/>
      <c r="E30" s="724"/>
      <c r="F30" s="724"/>
    </row>
    <row r="31" spans="1:6">
      <c r="A31" s="6"/>
      <c r="B31" s="724"/>
      <c r="C31" s="724"/>
      <c r="D31" s="724"/>
      <c r="E31" s="724"/>
      <c r="F31" s="724"/>
    </row>
    <row r="32" spans="1:6">
      <c r="A32" s="6"/>
      <c r="B32" s="724"/>
      <c r="C32" s="724"/>
      <c r="D32" s="724"/>
      <c r="E32" s="724"/>
      <c r="F32" s="724"/>
    </row>
    <row r="33" spans="1:6">
      <c r="A33" s="6"/>
      <c r="B33" s="724"/>
      <c r="C33" s="724"/>
      <c r="D33" s="724"/>
      <c r="E33" s="724"/>
      <c r="F33" s="724"/>
    </row>
    <row r="34" spans="1:6">
      <c r="A34" s="6"/>
      <c r="B34" s="724"/>
      <c r="C34" s="724"/>
      <c r="D34" s="724"/>
      <c r="E34" s="724"/>
      <c r="F34" s="724"/>
    </row>
    <row r="35" spans="1:6">
      <c r="A35" s="6"/>
      <c r="B35" s="724"/>
      <c r="C35" s="724"/>
      <c r="D35" s="724"/>
      <c r="E35" s="724"/>
      <c r="F35" s="724"/>
    </row>
    <row r="36" spans="1:6">
      <c r="A36" s="6"/>
      <c r="B36" s="724"/>
      <c r="C36" s="724"/>
      <c r="D36" s="724"/>
      <c r="E36" s="724"/>
      <c r="F36" s="724"/>
    </row>
    <row r="37" spans="1:6">
      <c r="A37" s="6"/>
      <c r="B37" s="724"/>
      <c r="C37" s="724"/>
      <c r="D37" s="724"/>
      <c r="E37" s="724"/>
      <c r="F37" s="724"/>
    </row>
    <row r="38" spans="1:6">
      <c r="A38" s="6"/>
      <c r="B38" s="724"/>
      <c r="C38" s="724"/>
      <c r="D38" s="724"/>
      <c r="E38" s="724"/>
      <c r="F38" s="724"/>
    </row>
    <row r="39" spans="1:6">
      <c r="A39" s="6"/>
      <c r="B39" s="724"/>
      <c r="C39" s="724"/>
      <c r="D39" s="724"/>
      <c r="E39" s="724"/>
      <c r="F39" s="724"/>
    </row>
    <row r="40" spans="1:6">
      <c r="A40" s="6"/>
      <c r="B40" s="724"/>
      <c r="C40" s="724"/>
      <c r="D40" s="724"/>
      <c r="E40" s="724"/>
      <c r="F40" s="724"/>
    </row>
    <row r="41" spans="1:6">
      <c r="A41" s="6"/>
      <c r="B41" s="724"/>
      <c r="C41" s="724"/>
      <c r="D41" s="724"/>
      <c r="E41" s="724"/>
      <c r="F41" s="724"/>
    </row>
    <row r="42" spans="1:6">
      <c r="A42" s="6"/>
      <c r="B42" s="724"/>
      <c r="C42" s="724"/>
      <c r="D42" s="724"/>
      <c r="E42" s="724"/>
      <c r="F42" s="724"/>
    </row>
    <row r="43" spans="1:6">
      <c r="A43" s="6"/>
      <c r="B43" s="724"/>
      <c r="C43" s="724"/>
      <c r="D43" s="724"/>
      <c r="E43" s="724"/>
      <c r="F43" s="724"/>
    </row>
  </sheetData>
  <mergeCells count="2">
    <mergeCell ref="A1:G1"/>
    <mergeCell ref="A3:G3"/>
  </mergeCells>
  <phoneticPr fontId="19" type="noConversion"/>
  <pageMargins left="1.5748031496062993" right="0.19685039370078741" top="0.78740157480314965" bottom="0.98425196850393704" header="0.51181102362204722" footer="0.51181102362204722"/>
  <pageSetup paperSize="5" orientation="portrait" horizontalDpi="300" verticalDpi="300" r:id="rId1"/>
  <headerFooter alignWithMargins="0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08"/>
  <sheetViews>
    <sheetView zoomScale="75" zoomScaleNormal="75" workbookViewId="0">
      <selection activeCell="J25" sqref="J25"/>
    </sheetView>
  </sheetViews>
  <sheetFormatPr baseColWidth="10" defaultRowHeight="12.75"/>
  <cols>
    <col min="1" max="1" width="20.5703125" customWidth="1"/>
    <col min="2" max="2" width="41.5703125" customWidth="1"/>
    <col min="3" max="6" width="10.28515625" customWidth="1"/>
    <col min="7" max="7" width="9.5703125" customWidth="1"/>
    <col min="8" max="8" width="8.7109375" customWidth="1"/>
    <col min="9" max="9" width="8.5703125" customWidth="1"/>
    <col min="11" max="11" width="6.42578125" customWidth="1"/>
  </cols>
  <sheetData>
    <row r="1" spans="1:11">
      <c r="A1" s="83" t="s">
        <v>62</v>
      </c>
      <c r="B1" s="117"/>
      <c r="C1" s="117"/>
      <c r="D1" s="117"/>
      <c r="E1" s="117"/>
      <c r="F1" s="117"/>
      <c r="G1" s="117"/>
      <c r="H1" s="117"/>
      <c r="I1" s="117"/>
    </row>
    <row r="2" spans="1:11">
      <c r="A2" s="83"/>
      <c r="B2" s="117"/>
      <c r="C2" s="117"/>
      <c r="D2" s="117"/>
      <c r="E2" s="117"/>
      <c r="F2" s="117"/>
      <c r="G2" s="117"/>
      <c r="H2" s="117"/>
      <c r="I2" s="117"/>
    </row>
    <row r="3" spans="1:11">
      <c r="A3" s="3" t="s">
        <v>1459</v>
      </c>
      <c r="B3" s="117"/>
      <c r="C3" s="117"/>
      <c r="D3" s="117"/>
      <c r="E3" s="117"/>
      <c r="F3" s="117"/>
      <c r="G3" s="117"/>
      <c r="H3" s="117"/>
      <c r="I3" s="117"/>
    </row>
    <row r="4" spans="1:11">
      <c r="A4" s="83"/>
      <c r="B4" s="117"/>
      <c r="C4" s="117"/>
      <c r="D4" s="117"/>
      <c r="E4" s="117"/>
      <c r="F4" s="117"/>
      <c r="G4" s="117"/>
      <c r="H4" s="117"/>
      <c r="I4" s="117"/>
    </row>
    <row r="5" spans="1:11">
      <c r="A5" s="117"/>
      <c r="B5" s="117"/>
      <c r="C5" s="117"/>
      <c r="D5" s="117"/>
      <c r="E5" s="117"/>
      <c r="F5" s="117"/>
      <c r="G5" s="117"/>
      <c r="H5" s="117"/>
      <c r="I5" s="117"/>
    </row>
    <row r="6" spans="1:11">
      <c r="A6" s="221"/>
      <c r="B6" s="221"/>
      <c r="C6" s="221"/>
      <c r="D6" s="221"/>
      <c r="E6" s="221"/>
      <c r="F6" s="221"/>
      <c r="G6" s="221"/>
      <c r="H6" s="221"/>
      <c r="I6" s="221"/>
    </row>
    <row r="7" spans="1:11" ht="33.75" customHeight="1">
      <c r="A7" s="725" t="s">
        <v>63</v>
      </c>
      <c r="B7" s="301"/>
      <c r="C7" s="93" t="s">
        <v>64</v>
      </c>
      <c r="D7" s="93" t="s">
        <v>65</v>
      </c>
      <c r="E7" s="92" t="s">
        <v>503</v>
      </c>
      <c r="F7" s="93" t="s">
        <v>1168</v>
      </c>
      <c r="G7" s="92" t="s">
        <v>66</v>
      </c>
      <c r="H7" s="726" t="s">
        <v>67</v>
      </c>
      <c r="I7" s="302" t="s">
        <v>706</v>
      </c>
      <c r="J7" s="6"/>
    </row>
    <row r="8" spans="1:11" ht="30" customHeight="1">
      <c r="A8" s="254" t="s">
        <v>68</v>
      </c>
      <c r="B8" s="727" t="s">
        <v>69</v>
      </c>
      <c r="C8" s="728">
        <v>3352</v>
      </c>
      <c r="D8" s="728">
        <v>3441</v>
      </c>
      <c r="E8" s="728"/>
      <c r="F8" s="728"/>
      <c r="G8" s="728"/>
      <c r="H8" s="728"/>
      <c r="I8" s="729">
        <f t="shared" ref="I8:I14" si="0">SUM(C8:H8)</f>
        <v>6793</v>
      </c>
      <c r="J8" s="6"/>
    </row>
    <row r="9" spans="1:11" ht="30" customHeight="1">
      <c r="A9" s="688" t="s">
        <v>70</v>
      </c>
      <c r="B9" s="727" t="s">
        <v>71</v>
      </c>
      <c r="C9" s="728">
        <v>514</v>
      </c>
      <c r="D9" s="728">
        <v>0</v>
      </c>
      <c r="E9" s="728"/>
      <c r="F9" s="728"/>
      <c r="G9" s="728"/>
      <c r="H9" s="728"/>
      <c r="I9" s="729">
        <f t="shared" si="0"/>
        <v>514</v>
      </c>
      <c r="J9" s="6"/>
      <c r="K9" s="119">
        <f>SUM(I8:I9)</f>
        <v>7307</v>
      </c>
    </row>
    <row r="10" spans="1:11" ht="30" customHeight="1">
      <c r="A10" s="254" t="s">
        <v>68</v>
      </c>
      <c r="B10" s="727" t="s">
        <v>69</v>
      </c>
      <c r="C10" s="728">
        <v>828</v>
      </c>
      <c r="D10" s="728">
        <v>438</v>
      </c>
      <c r="E10" s="728"/>
      <c r="F10" s="728"/>
      <c r="G10" s="728"/>
      <c r="H10" s="728"/>
      <c r="I10" s="729">
        <f t="shared" si="0"/>
        <v>1266</v>
      </c>
      <c r="J10" s="6"/>
      <c r="K10" s="119"/>
    </row>
    <row r="11" spans="1:11" ht="30" customHeight="1">
      <c r="A11" s="688" t="s">
        <v>72</v>
      </c>
      <c r="B11" s="727" t="s">
        <v>71</v>
      </c>
      <c r="C11" s="728">
        <v>973</v>
      </c>
      <c r="D11" s="728">
        <v>0</v>
      </c>
      <c r="E11" s="728"/>
      <c r="F11" s="728"/>
      <c r="G11" s="728"/>
      <c r="H11" s="728"/>
      <c r="I11" s="729">
        <f t="shared" si="0"/>
        <v>973</v>
      </c>
      <c r="J11" s="6"/>
      <c r="K11" s="119">
        <f>SUM(I10:I11)</f>
        <v>2239</v>
      </c>
    </row>
    <row r="12" spans="1:11" ht="30" customHeight="1">
      <c r="A12" s="303" t="s">
        <v>73</v>
      </c>
      <c r="B12" s="727" t="s">
        <v>74</v>
      </c>
      <c r="C12" s="728">
        <v>1255</v>
      </c>
      <c r="D12" s="728">
        <v>1853</v>
      </c>
      <c r="E12" s="728"/>
      <c r="F12" s="728"/>
      <c r="G12" s="728"/>
      <c r="H12" s="728"/>
      <c r="I12" s="729">
        <f t="shared" si="0"/>
        <v>3108</v>
      </c>
      <c r="J12" s="6"/>
    </row>
    <row r="13" spans="1:11" ht="30" customHeight="1">
      <c r="A13" s="254"/>
      <c r="B13" s="685" t="s">
        <v>75</v>
      </c>
      <c r="C13" s="728">
        <v>251</v>
      </c>
      <c r="D13" s="728">
        <v>60</v>
      </c>
      <c r="E13" s="728"/>
      <c r="F13" s="728"/>
      <c r="G13" s="728"/>
      <c r="H13" s="728"/>
      <c r="I13" s="729">
        <f t="shared" si="0"/>
        <v>311</v>
      </c>
      <c r="J13" s="6"/>
      <c r="K13" s="119">
        <f>SUM(I12:I13)</f>
        <v>3419</v>
      </c>
    </row>
    <row r="14" spans="1:11" ht="30" customHeight="1">
      <c r="A14" s="730" t="s">
        <v>76</v>
      </c>
      <c r="B14" s="731"/>
      <c r="C14" s="732">
        <v>5092</v>
      </c>
      <c r="D14" s="728">
        <v>4196</v>
      </c>
      <c r="E14" s="728">
        <v>8</v>
      </c>
      <c r="F14" s="728">
        <v>348</v>
      </c>
      <c r="G14" s="728">
        <v>31</v>
      </c>
      <c r="H14" s="728">
        <v>394</v>
      </c>
      <c r="I14" s="729">
        <f t="shared" si="0"/>
        <v>10069</v>
      </c>
      <c r="J14" s="6"/>
      <c r="K14" s="119">
        <f>+I14</f>
        <v>10069</v>
      </c>
    </row>
    <row r="15" spans="1:11" ht="30" customHeight="1">
      <c r="A15" s="254"/>
      <c r="B15" s="727" t="s">
        <v>74</v>
      </c>
      <c r="C15" s="728">
        <f>+C8+C9+C12</f>
        <v>5121</v>
      </c>
      <c r="D15" s="728">
        <f t="shared" ref="D15:I15" si="1">+D8+D9+D12</f>
        <v>5294</v>
      </c>
      <c r="E15" s="728">
        <f t="shared" si="1"/>
        <v>0</v>
      </c>
      <c r="F15" s="728">
        <f t="shared" si="1"/>
        <v>0</v>
      </c>
      <c r="G15" s="728">
        <f t="shared" si="1"/>
        <v>0</v>
      </c>
      <c r="H15" s="728">
        <f t="shared" si="1"/>
        <v>0</v>
      </c>
      <c r="I15" s="728">
        <f t="shared" si="1"/>
        <v>10415</v>
      </c>
      <c r="J15" s="6"/>
    </row>
    <row r="16" spans="1:11" ht="30" customHeight="1">
      <c r="A16" s="254" t="s">
        <v>690</v>
      </c>
      <c r="B16" s="685" t="s">
        <v>75</v>
      </c>
      <c r="C16" s="728">
        <f>+C10+C13+C11</f>
        <v>2052</v>
      </c>
      <c r="D16" s="728">
        <f t="shared" ref="D16:I16" si="2">+D10+D13+D11</f>
        <v>498</v>
      </c>
      <c r="E16" s="728">
        <f t="shared" si="2"/>
        <v>0</v>
      </c>
      <c r="F16" s="728">
        <f t="shared" si="2"/>
        <v>0</v>
      </c>
      <c r="G16" s="728">
        <f t="shared" si="2"/>
        <v>0</v>
      </c>
      <c r="H16" s="728">
        <f t="shared" si="2"/>
        <v>0</v>
      </c>
      <c r="I16" s="728">
        <f t="shared" si="2"/>
        <v>2550</v>
      </c>
      <c r="J16" s="6"/>
    </row>
    <row r="17" spans="1:11" ht="30" customHeight="1">
      <c r="A17" s="254"/>
      <c r="B17" s="727" t="s">
        <v>77</v>
      </c>
      <c r="C17" s="728">
        <f>+C14</f>
        <v>5092</v>
      </c>
      <c r="D17" s="728">
        <f t="shared" ref="D17:I17" si="3">+D14</f>
        <v>4196</v>
      </c>
      <c r="E17" s="728">
        <f t="shared" si="3"/>
        <v>8</v>
      </c>
      <c r="F17" s="728">
        <f t="shared" si="3"/>
        <v>348</v>
      </c>
      <c r="G17" s="728">
        <f t="shared" si="3"/>
        <v>31</v>
      </c>
      <c r="H17" s="728">
        <f t="shared" si="3"/>
        <v>394</v>
      </c>
      <c r="I17" s="728">
        <f t="shared" si="3"/>
        <v>10069</v>
      </c>
      <c r="J17" s="6"/>
    </row>
    <row r="18" spans="1:11" ht="30" customHeight="1">
      <c r="A18" s="733"/>
      <c r="B18" s="727" t="s">
        <v>690</v>
      </c>
      <c r="C18" s="728">
        <f t="shared" ref="C18:I18" si="4">SUM(C15:C17)</f>
        <v>12265</v>
      </c>
      <c r="D18" s="728">
        <f t="shared" si="4"/>
        <v>9988</v>
      </c>
      <c r="E18" s="728">
        <f t="shared" si="4"/>
        <v>8</v>
      </c>
      <c r="F18" s="728">
        <f t="shared" si="4"/>
        <v>348</v>
      </c>
      <c r="G18" s="728">
        <f t="shared" si="4"/>
        <v>31</v>
      </c>
      <c r="H18" s="728">
        <f t="shared" si="4"/>
        <v>394</v>
      </c>
      <c r="I18" s="728">
        <f t="shared" si="4"/>
        <v>23034</v>
      </c>
      <c r="K18" s="119">
        <f>SUM(K13,K10)</f>
        <v>3419</v>
      </c>
    </row>
    <row r="19" spans="1:11">
      <c r="A19" s="221"/>
      <c r="B19" s="221"/>
      <c r="C19" s="221"/>
      <c r="D19" s="221"/>
      <c r="E19" s="221"/>
      <c r="F19" s="221"/>
      <c r="G19" s="221"/>
      <c r="H19" s="221"/>
      <c r="I19" s="221"/>
    </row>
    <row r="20" spans="1:11">
      <c r="A20" s="221"/>
      <c r="B20" s="221"/>
      <c r="C20" s="221"/>
      <c r="D20" s="221"/>
      <c r="E20" s="221"/>
      <c r="F20" s="221"/>
      <c r="G20" s="221"/>
      <c r="H20" s="221"/>
      <c r="I20" s="221"/>
    </row>
    <row r="21" spans="1:11">
      <c r="A21" s="221"/>
      <c r="B21" s="221"/>
      <c r="C21" s="221"/>
      <c r="D21" s="221"/>
      <c r="E21" s="221"/>
      <c r="F21" s="221"/>
      <c r="G21" s="221"/>
      <c r="H21" s="221"/>
      <c r="I21" s="221"/>
    </row>
    <row r="22" spans="1:11">
      <c r="A22" s="221"/>
      <c r="B22" s="221"/>
      <c r="C22" s="221"/>
      <c r="D22" s="221"/>
      <c r="E22" s="221"/>
      <c r="F22" s="221"/>
      <c r="G22" s="221"/>
      <c r="H22" s="221"/>
      <c r="I22" s="221"/>
    </row>
    <row r="23" spans="1:11">
      <c r="H23" s="221"/>
      <c r="I23" s="221"/>
    </row>
    <row r="24" spans="1:11">
      <c r="H24" s="221"/>
      <c r="I24" s="221"/>
    </row>
    <row r="25" spans="1:11">
      <c r="H25" s="221"/>
      <c r="I25" s="221"/>
    </row>
    <row r="26" spans="1:11">
      <c r="H26" s="221"/>
      <c r="I26" s="221"/>
    </row>
    <row r="27" spans="1:11">
      <c r="H27" s="221"/>
      <c r="I27" s="221"/>
    </row>
    <row r="28" spans="1:11">
      <c r="H28" s="221"/>
      <c r="I28" s="221"/>
    </row>
    <row r="29" spans="1:11">
      <c r="H29" s="221"/>
      <c r="I29" s="221"/>
    </row>
    <row r="30" spans="1:11">
      <c r="H30" s="221"/>
      <c r="I30" s="221"/>
    </row>
    <row r="31" spans="1:11">
      <c r="H31" s="221"/>
      <c r="I31" s="221"/>
    </row>
    <row r="32" spans="1:11">
      <c r="H32" s="221"/>
      <c r="I32" s="221"/>
    </row>
    <row r="33" spans="8:9">
      <c r="H33" s="221"/>
      <c r="I33" s="221"/>
    </row>
    <row r="34" spans="8:9">
      <c r="H34" s="221"/>
      <c r="I34" s="221"/>
    </row>
    <row r="35" spans="8:9">
      <c r="H35" s="221"/>
      <c r="I35" s="221"/>
    </row>
    <row r="36" spans="8:9">
      <c r="H36" s="221"/>
      <c r="I36" s="221"/>
    </row>
    <row r="37" spans="8:9">
      <c r="H37" s="221"/>
      <c r="I37" s="221"/>
    </row>
    <row r="38" spans="8:9">
      <c r="H38" s="221"/>
      <c r="I38" s="221"/>
    </row>
    <row r="39" spans="8:9">
      <c r="H39" s="221"/>
      <c r="I39" s="221"/>
    </row>
    <row r="40" spans="8:9">
      <c r="H40" s="221"/>
      <c r="I40" s="221"/>
    </row>
    <row r="41" spans="8:9">
      <c r="H41" s="221"/>
      <c r="I41" s="221"/>
    </row>
    <row r="42" spans="8:9">
      <c r="H42" s="221"/>
      <c r="I42" s="221"/>
    </row>
    <row r="43" spans="8:9">
      <c r="H43" s="221"/>
      <c r="I43" s="221"/>
    </row>
    <row r="44" spans="8:9">
      <c r="H44" s="221"/>
      <c r="I44" s="221"/>
    </row>
    <row r="45" spans="8:9">
      <c r="H45" s="221"/>
      <c r="I45" s="221"/>
    </row>
    <row r="46" spans="8:9">
      <c r="H46" s="221"/>
      <c r="I46" s="221"/>
    </row>
    <row r="47" spans="8:9">
      <c r="H47" s="221"/>
      <c r="I47" s="221"/>
    </row>
    <row r="48" spans="8:9">
      <c r="H48" s="221"/>
      <c r="I48" s="221"/>
    </row>
    <row r="49" spans="8:9">
      <c r="H49" s="221"/>
      <c r="I49" s="221"/>
    </row>
    <row r="50" spans="8:9">
      <c r="H50" s="221"/>
      <c r="I50" s="221"/>
    </row>
    <row r="51" spans="8:9">
      <c r="H51" s="221"/>
      <c r="I51" s="221"/>
    </row>
    <row r="52" spans="8:9">
      <c r="H52" s="221"/>
      <c r="I52" s="221"/>
    </row>
    <row r="53" spans="8:9">
      <c r="H53" s="221"/>
      <c r="I53" s="221"/>
    </row>
    <row r="54" spans="8:9">
      <c r="H54" s="221"/>
      <c r="I54" s="221"/>
    </row>
    <row r="55" spans="8:9">
      <c r="H55" s="221"/>
      <c r="I55" s="221"/>
    </row>
    <row r="56" spans="8:9">
      <c r="H56" s="221"/>
      <c r="I56" s="221"/>
    </row>
    <row r="57" spans="8:9">
      <c r="H57" s="221"/>
      <c r="I57" s="221"/>
    </row>
    <row r="58" spans="8:9">
      <c r="H58" s="221"/>
      <c r="I58" s="221"/>
    </row>
    <row r="59" spans="8:9">
      <c r="H59" s="221"/>
      <c r="I59" s="221"/>
    </row>
    <row r="60" spans="8:9">
      <c r="H60" s="221"/>
      <c r="I60" s="221"/>
    </row>
    <row r="61" spans="8:9">
      <c r="H61" s="221"/>
      <c r="I61" s="221"/>
    </row>
    <row r="62" spans="8:9">
      <c r="H62" s="221"/>
      <c r="I62" s="221"/>
    </row>
    <row r="63" spans="8:9">
      <c r="H63" s="221"/>
      <c r="I63" s="221"/>
    </row>
    <row r="64" spans="8:9">
      <c r="H64" s="221"/>
      <c r="I64" s="221"/>
    </row>
    <row r="65" spans="1:9">
      <c r="A65" s="221"/>
      <c r="B65" s="221"/>
      <c r="C65" s="221"/>
      <c r="D65" s="221"/>
      <c r="E65" s="221"/>
      <c r="F65" s="221"/>
      <c r="G65" s="221"/>
      <c r="H65" s="221"/>
      <c r="I65" s="221"/>
    </row>
    <row r="66" spans="1:9">
      <c r="A66" s="221"/>
      <c r="B66" s="221"/>
      <c r="C66" s="221"/>
      <c r="D66" s="221"/>
      <c r="E66" s="221"/>
      <c r="F66" s="221"/>
      <c r="G66" s="221"/>
      <c r="H66" s="221"/>
      <c r="I66" s="221"/>
    </row>
    <row r="67" spans="1:9">
      <c r="A67" s="221"/>
      <c r="B67" s="221"/>
      <c r="C67" s="221"/>
      <c r="D67" s="221"/>
      <c r="E67" s="221"/>
      <c r="F67" s="221"/>
      <c r="G67" s="221"/>
      <c r="H67" s="221"/>
      <c r="I67" s="221"/>
    </row>
    <row r="68" spans="1:9">
      <c r="A68" s="221"/>
      <c r="B68" s="221"/>
      <c r="C68" s="221"/>
      <c r="D68" s="221"/>
      <c r="E68" s="221"/>
      <c r="F68" s="221"/>
      <c r="G68" s="221"/>
      <c r="H68" s="221"/>
      <c r="I68" s="221"/>
    </row>
    <row r="69" spans="1:9">
      <c r="A69" s="221"/>
      <c r="B69" s="221"/>
      <c r="C69" s="221"/>
      <c r="D69" s="221"/>
      <c r="E69" s="221"/>
      <c r="F69" s="221"/>
      <c r="G69" s="221"/>
      <c r="H69" s="221"/>
      <c r="I69" s="221"/>
    </row>
    <row r="70" spans="1:9">
      <c r="A70" s="221"/>
      <c r="B70" s="221"/>
      <c r="C70" s="221"/>
      <c r="D70" s="221"/>
      <c r="E70" s="221"/>
      <c r="F70" s="221"/>
      <c r="G70" s="221"/>
      <c r="H70" s="221"/>
      <c r="I70" s="221"/>
    </row>
    <row r="71" spans="1:9">
      <c r="A71" s="221"/>
      <c r="B71" s="221"/>
      <c r="C71" s="221"/>
      <c r="D71" s="221"/>
      <c r="E71" s="221"/>
      <c r="F71" s="221"/>
      <c r="G71" s="221"/>
      <c r="H71" s="221"/>
      <c r="I71" s="221"/>
    </row>
    <row r="72" spans="1:9">
      <c r="A72" s="221"/>
      <c r="B72" s="221"/>
      <c r="C72" s="221"/>
      <c r="D72" s="221"/>
      <c r="E72" s="221"/>
      <c r="F72" s="221"/>
      <c r="G72" s="221"/>
      <c r="H72" s="221"/>
      <c r="I72" s="221"/>
    </row>
    <row r="73" spans="1:9">
      <c r="A73" s="221"/>
      <c r="B73" s="221"/>
      <c r="C73" s="221"/>
      <c r="D73" s="221"/>
      <c r="E73" s="221"/>
      <c r="F73" s="221"/>
      <c r="G73" s="221"/>
      <c r="H73" s="221"/>
      <c r="I73" s="221"/>
    </row>
    <row r="74" spans="1:9">
      <c r="A74" s="221"/>
      <c r="B74" s="221"/>
      <c r="C74" s="221"/>
      <c r="D74" s="221"/>
      <c r="E74" s="221"/>
      <c r="F74" s="221"/>
      <c r="G74" s="221"/>
      <c r="H74" s="221"/>
      <c r="I74" s="221"/>
    </row>
    <row r="75" spans="1:9">
      <c r="A75" s="221"/>
      <c r="B75" s="221"/>
      <c r="C75" s="221"/>
      <c r="D75" s="221"/>
      <c r="E75" s="221"/>
      <c r="F75" s="221"/>
      <c r="G75" s="221"/>
      <c r="H75" s="221"/>
      <c r="I75" s="221"/>
    </row>
    <row r="76" spans="1:9">
      <c r="A76" s="221"/>
      <c r="B76" s="221"/>
      <c r="C76" s="221"/>
      <c r="D76" s="221"/>
      <c r="E76" s="221"/>
      <c r="F76" s="221"/>
      <c r="G76" s="221"/>
      <c r="H76" s="221"/>
      <c r="I76" s="221"/>
    </row>
    <row r="77" spans="1:9">
      <c r="A77" s="221"/>
      <c r="B77" s="221"/>
      <c r="C77" s="221"/>
      <c r="D77" s="221"/>
      <c r="E77" s="221"/>
      <c r="F77" s="221"/>
      <c r="G77" s="221"/>
      <c r="H77" s="221"/>
      <c r="I77" s="221"/>
    </row>
    <row r="78" spans="1:9">
      <c r="A78" s="221"/>
      <c r="B78" s="221"/>
      <c r="C78" s="221"/>
      <c r="D78" s="221"/>
      <c r="E78" s="221"/>
      <c r="F78" s="221"/>
      <c r="G78" s="221"/>
      <c r="H78" s="221"/>
      <c r="I78" s="221"/>
    </row>
    <row r="79" spans="1:9">
      <c r="A79" s="221"/>
      <c r="B79" s="221"/>
      <c r="C79" s="221"/>
      <c r="D79" s="221"/>
      <c r="E79" s="221"/>
      <c r="F79" s="221"/>
      <c r="G79" s="221"/>
      <c r="H79" s="221"/>
      <c r="I79" s="221"/>
    </row>
    <row r="80" spans="1:9">
      <c r="A80" s="221"/>
      <c r="B80" s="221"/>
      <c r="C80" s="221"/>
      <c r="D80" s="221"/>
      <c r="E80" s="221"/>
      <c r="F80" s="221"/>
      <c r="G80" s="221"/>
      <c r="H80" s="221"/>
      <c r="I80" s="221"/>
    </row>
    <row r="81" spans="1:9">
      <c r="A81" s="221"/>
      <c r="B81" s="221"/>
      <c r="C81" s="221"/>
      <c r="D81" s="221"/>
      <c r="E81" s="221"/>
      <c r="F81" s="221"/>
      <c r="G81" s="221"/>
      <c r="H81" s="221"/>
      <c r="I81" s="221"/>
    </row>
    <row r="82" spans="1:9">
      <c r="A82" s="221"/>
      <c r="B82" s="221"/>
      <c r="C82" s="221"/>
      <c r="D82" s="221"/>
      <c r="E82" s="221"/>
      <c r="F82" s="221"/>
      <c r="G82" s="221"/>
      <c r="H82" s="221"/>
      <c r="I82" s="221"/>
    </row>
    <row r="83" spans="1:9">
      <c r="A83" s="221"/>
      <c r="B83" s="221"/>
      <c r="C83" s="221"/>
      <c r="D83" s="221"/>
      <c r="E83" s="221"/>
      <c r="F83" s="221"/>
      <c r="G83" s="221"/>
      <c r="H83" s="221"/>
      <c r="I83" s="221"/>
    </row>
    <row r="84" spans="1:9">
      <c r="A84" s="221"/>
      <c r="B84" s="221"/>
      <c r="C84" s="221"/>
      <c r="D84" s="221"/>
      <c r="E84" s="221"/>
      <c r="F84" s="221"/>
      <c r="G84" s="221"/>
      <c r="H84" s="221"/>
      <c r="I84" s="221"/>
    </row>
    <row r="85" spans="1:9">
      <c r="A85" s="221"/>
      <c r="B85" s="221"/>
      <c r="C85" s="221"/>
      <c r="D85" s="221"/>
      <c r="E85" s="221"/>
      <c r="F85" s="221"/>
      <c r="G85" s="221"/>
      <c r="H85" s="221"/>
      <c r="I85" s="221"/>
    </row>
    <row r="86" spans="1:9">
      <c r="A86" s="221"/>
      <c r="B86" s="221"/>
      <c r="C86" s="221"/>
      <c r="D86" s="221"/>
      <c r="E86" s="221"/>
      <c r="F86" s="221"/>
      <c r="G86" s="221"/>
      <c r="H86" s="221"/>
      <c r="I86" s="221"/>
    </row>
    <row r="87" spans="1:9">
      <c r="A87" s="221"/>
      <c r="B87" s="221"/>
      <c r="C87" s="221"/>
      <c r="D87" s="221"/>
      <c r="E87" s="221"/>
      <c r="F87" s="221"/>
      <c r="G87" s="221"/>
      <c r="H87" s="221"/>
      <c r="I87" s="221"/>
    </row>
    <row r="88" spans="1:9">
      <c r="A88" s="221"/>
      <c r="B88" s="221"/>
      <c r="C88" s="221"/>
      <c r="D88" s="221"/>
      <c r="E88" s="221"/>
      <c r="F88" s="221"/>
      <c r="G88" s="221"/>
      <c r="H88" s="221"/>
      <c r="I88" s="221"/>
    </row>
    <row r="89" spans="1:9">
      <c r="A89" s="221"/>
      <c r="B89" s="221"/>
      <c r="C89" s="221"/>
      <c r="D89" s="221"/>
      <c r="E89" s="221"/>
      <c r="F89" s="221"/>
      <c r="G89" s="221"/>
      <c r="H89" s="221"/>
      <c r="I89" s="221"/>
    </row>
    <row r="90" spans="1:9">
      <c r="A90" s="221"/>
      <c r="B90" s="221"/>
      <c r="C90" s="221"/>
      <c r="D90" s="221"/>
      <c r="E90" s="221"/>
      <c r="F90" s="221"/>
      <c r="G90" s="221"/>
      <c r="H90" s="221"/>
      <c r="I90" s="221"/>
    </row>
    <row r="91" spans="1:9">
      <c r="A91" s="221"/>
      <c r="B91" s="221"/>
      <c r="C91" s="221"/>
      <c r="D91" s="221"/>
      <c r="E91" s="221"/>
      <c r="F91" s="221"/>
      <c r="G91" s="221"/>
      <c r="H91" s="221"/>
      <c r="I91" s="221"/>
    </row>
    <row r="92" spans="1:9">
      <c r="A92" s="221"/>
      <c r="B92" s="221"/>
      <c r="C92" s="221"/>
      <c r="D92" s="221"/>
      <c r="E92" s="221"/>
      <c r="F92" s="221"/>
      <c r="G92" s="221"/>
      <c r="H92" s="221"/>
      <c r="I92" s="221"/>
    </row>
    <row r="93" spans="1:9">
      <c r="A93" s="221"/>
      <c r="B93" s="221"/>
      <c r="C93" s="221"/>
      <c r="D93" s="221"/>
      <c r="E93" s="221"/>
      <c r="F93" s="221"/>
      <c r="G93" s="221"/>
      <c r="H93" s="221"/>
      <c r="I93" s="221"/>
    </row>
    <row r="94" spans="1:9">
      <c r="A94" s="221"/>
      <c r="B94" s="221"/>
      <c r="C94" s="221"/>
      <c r="D94" s="221"/>
      <c r="E94" s="221"/>
      <c r="F94" s="221"/>
      <c r="G94" s="221"/>
      <c r="H94" s="221"/>
      <c r="I94" s="221"/>
    </row>
    <row r="95" spans="1:9">
      <c r="A95" s="221"/>
      <c r="B95" s="221"/>
      <c r="C95" s="221"/>
      <c r="D95" s="221"/>
      <c r="E95" s="221"/>
      <c r="F95" s="221"/>
      <c r="G95" s="221"/>
      <c r="H95" s="221"/>
      <c r="I95" s="221"/>
    </row>
    <row r="96" spans="1:9">
      <c r="A96" s="221"/>
      <c r="B96" s="221"/>
      <c r="C96" s="221"/>
      <c r="D96" s="221"/>
      <c r="E96" s="221"/>
      <c r="F96" s="221"/>
      <c r="G96" s="221"/>
      <c r="H96" s="221"/>
      <c r="I96" s="221"/>
    </row>
    <row r="97" spans="1:9">
      <c r="A97" s="221"/>
      <c r="B97" s="221"/>
      <c r="C97" s="221"/>
      <c r="D97" s="221"/>
      <c r="E97" s="221"/>
      <c r="F97" s="221"/>
      <c r="G97" s="221"/>
      <c r="H97" s="221"/>
      <c r="I97" s="221"/>
    </row>
    <row r="98" spans="1:9">
      <c r="A98" s="221"/>
      <c r="B98" s="221"/>
      <c r="C98" s="221"/>
      <c r="D98" s="221"/>
      <c r="E98" s="221"/>
      <c r="F98" s="221"/>
      <c r="G98" s="221"/>
      <c r="H98" s="221"/>
      <c r="I98" s="221"/>
    </row>
    <row r="99" spans="1:9">
      <c r="A99" s="221"/>
      <c r="B99" s="221"/>
      <c r="C99" s="221"/>
      <c r="D99" s="221"/>
      <c r="E99" s="221"/>
      <c r="F99" s="221"/>
      <c r="G99" s="221"/>
      <c r="H99" s="221"/>
      <c r="I99" s="221"/>
    </row>
    <row r="100" spans="1:9">
      <c r="A100" s="221"/>
      <c r="B100" s="221"/>
      <c r="C100" s="221"/>
      <c r="D100" s="221"/>
      <c r="E100" s="221"/>
      <c r="F100" s="221"/>
      <c r="G100" s="221"/>
      <c r="H100" s="221"/>
      <c r="I100" s="221"/>
    </row>
    <row r="101" spans="1:9">
      <c r="A101" s="221"/>
      <c r="B101" s="221"/>
      <c r="C101" s="221"/>
      <c r="D101" s="221"/>
      <c r="E101" s="221"/>
      <c r="F101" s="221"/>
      <c r="G101" s="221"/>
      <c r="H101" s="221"/>
      <c r="I101" s="221"/>
    </row>
    <row r="102" spans="1:9">
      <c r="A102" s="221"/>
      <c r="B102" s="221"/>
      <c r="C102" s="221"/>
      <c r="D102" s="221"/>
      <c r="E102" s="221"/>
      <c r="F102" s="221"/>
      <c r="G102" s="221"/>
      <c r="H102" s="221"/>
      <c r="I102" s="221"/>
    </row>
    <row r="103" spans="1:9">
      <c r="A103" s="221"/>
      <c r="B103" s="221"/>
      <c r="C103" s="221"/>
      <c r="D103" s="221"/>
      <c r="E103" s="221"/>
      <c r="F103" s="221"/>
      <c r="G103" s="221"/>
      <c r="H103" s="221"/>
      <c r="I103" s="221"/>
    </row>
    <row r="104" spans="1:9">
      <c r="A104" s="221"/>
      <c r="B104" s="221"/>
      <c r="C104" s="221"/>
      <c r="D104" s="221"/>
      <c r="E104" s="221"/>
      <c r="F104" s="221"/>
      <c r="G104" s="221"/>
      <c r="H104" s="221"/>
      <c r="I104" s="221"/>
    </row>
    <row r="105" spans="1:9">
      <c r="A105" s="221"/>
      <c r="B105" s="221"/>
      <c r="C105" s="221"/>
      <c r="D105" s="221"/>
      <c r="E105" s="221"/>
      <c r="F105" s="221"/>
      <c r="G105" s="221"/>
      <c r="H105" s="221"/>
      <c r="I105" s="221"/>
    </row>
    <row r="106" spans="1:9">
      <c r="A106" s="221"/>
      <c r="B106" s="221"/>
      <c r="C106" s="221"/>
      <c r="D106" s="221"/>
      <c r="E106" s="221"/>
      <c r="F106" s="221"/>
      <c r="G106" s="221"/>
      <c r="H106" s="221"/>
      <c r="I106" s="221"/>
    </row>
    <row r="107" spans="1:9">
      <c r="A107" s="221"/>
      <c r="B107" s="221"/>
      <c r="C107" s="221"/>
      <c r="D107" s="221"/>
      <c r="E107" s="221"/>
      <c r="F107" s="221"/>
      <c r="G107" s="221"/>
      <c r="H107" s="221"/>
      <c r="I107" s="221"/>
    </row>
    <row r="108" spans="1:9">
      <c r="A108" s="221"/>
      <c r="B108" s="221"/>
      <c r="C108" s="221"/>
      <c r="D108" s="221"/>
      <c r="E108" s="221"/>
      <c r="F108" s="221"/>
      <c r="G108" s="221"/>
      <c r="H108" s="221"/>
      <c r="I108" s="221"/>
    </row>
    <row r="109" spans="1:9">
      <c r="A109" s="221"/>
      <c r="B109" s="221"/>
      <c r="C109" s="221"/>
      <c r="D109" s="221"/>
      <c r="E109" s="221"/>
      <c r="F109" s="221"/>
      <c r="G109" s="221"/>
      <c r="H109" s="221"/>
      <c r="I109" s="221"/>
    </row>
    <row r="110" spans="1:9">
      <c r="A110" s="221"/>
      <c r="B110" s="221"/>
      <c r="C110" s="221"/>
      <c r="D110" s="221"/>
      <c r="E110" s="221"/>
      <c r="F110" s="221"/>
      <c r="G110" s="221"/>
      <c r="H110" s="221"/>
      <c r="I110" s="221"/>
    </row>
    <row r="111" spans="1:9">
      <c r="A111" s="221"/>
      <c r="B111" s="221"/>
      <c r="C111" s="221"/>
      <c r="D111" s="221"/>
      <c r="E111" s="221"/>
      <c r="F111" s="221"/>
      <c r="G111" s="221"/>
      <c r="H111" s="221"/>
      <c r="I111" s="221"/>
    </row>
    <row r="112" spans="1:9">
      <c r="A112" s="221"/>
      <c r="B112" s="221"/>
      <c r="C112" s="221"/>
      <c r="D112" s="221"/>
      <c r="E112" s="221"/>
      <c r="F112" s="221"/>
      <c r="G112" s="221"/>
      <c r="H112" s="221"/>
      <c r="I112" s="221"/>
    </row>
    <row r="113" spans="1:9">
      <c r="A113" s="221"/>
      <c r="B113" s="221"/>
      <c r="C113" s="221"/>
      <c r="D113" s="221"/>
      <c r="E113" s="221"/>
      <c r="F113" s="221"/>
      <c r="G113" s="221"/>
      <c r="H113" s="221"/>
      <c r="I113" s="221"/>
    </row>
    <row r="114" spans="1:9">
      <c r="A114" s="221"/>
      <c r="B114" s="221"/>
      <c r="C114" s="221"/>
      <c r="D114" s="221"/>
      <c r="E114" s="221"/>
      <c r="F114" s="221"/>
      <c r="G114" s="221"/>
      <c r="H114" s="221"/>
      <c r="I114" s="221"/>
    </row>
    <row r="115" spans="1:9">
      <c r="A115" s="221"/>
      <c r="B115" s="221"/>
      <c r="C115" s="221"/>
      <c r="D115" s="221"/>
      <c r="E115" s="221"/>
      <c r="F115" s="221"/>
      <c r="G115" s="221"/>
      <c r="H115" s="221"/>
      <c r="I115" s="221"/>
    </row>
    <row r="116" spans="1:9">
      <c r="A116" s="221"/>
      <c r="B116" s="221"/>
      <c r="C116" s="221"/>
      <c r="D116" s="221"/>
      <c r="E116" s="221"/>
      <c r="F116" s="221"/>
      <c r="G116" s="221"/>
      <c r="H116" s="221"/>
      <c r="I116" s="221"/>
    </row>
    <row r="117" spans="1:9">
      <c r="A117" s="221"/>
      <c r="B117" s="221"/>
      <c r="C117" s="221"/>
      <c r="D117" s="221"/>
      <c r="E117" s="221"/>
      <c r="F117" s="221"/>
      <c r="G117" s="221"/>
      <c r="H117" s="221"/>
      <c r="I117" s="221"/>
    </row>
    <row r="118" spans="1:9">
      <c r="A118" s="221"/>
      <c r="B118" s="221"/>
      <c r="C118" s="221"/>
      <c r="D118" s="221"/>
      <c r="E118" s="221"/>
      <c r="F118" s="221"/>
      <c r="G118" s="221"/>
      <c r="H118" s="221"/>
      <c r="I118" s="221"/>
    </row>
    <row r="119" spans="1:9">
      <c r="A119" s="221"/>
      <c r="B119" s="221"/>
      <c r="C119" s="221"/>
      <c r="D119" s="221"/>
      <c r="E119" s="221"/>
      <c r="F119" s="221"/>
      <c r="G119" s="221"/>
      <c r="H119" s="221"/>
      <c r="I119" s="221"/>
    </row>
    <row r="120" spans="1:9">
      <c r="A120" s="221"/>
      <c r="B120" s="221"/>
      <c r="C120" s="221"/>
      <c r="D120" s="221"/>
      <c r="E120" s="221"/>
      <c r="F120" s="221"/>
      <c r="G120" s="221"/>
      <c r="H120" s="221"/>
      <c r="I120" s="221"/>
    </row>
    <row r="121" spans="1:9">
      <c r="A121" s="221"/>
      <c r="B121" s="221"/>
      <c r="C121" s="221"/>
      <c r="D121" s="221"/>
      <c r="E121" s="221"/>
      <c r="F121" s="221"/>
      <c r="G121" s="221"/>
      <c r="H121" s="221"/>
      <c r="I121" s="221"/>
    </row>
    <row r="122" spans="1:9">
      <c r="A122" s="221"/>
      <c r="B122" s="221"/>
      <c r="C122" s="221"/>
      <c r="D122" s="221"/>
      <c r="E122" s="221"/>
      <c r="F122" s="221"/>
      <c r="G122" s="221"/>
      <c r="H122" s="221"/>
      <c r="I122" s="221"/>
    </row>
    <row r="123" spans="1:9">
      <c r="A123" s="221"/>
      <c r="B123" s="221"/>
      <c r="C123" s="221"/>
      <c r="D123" s="221"/>
      <c r="E123" s="221"/>
      <c r="F123" s="221"/>
      <c r="G123" s="221"/>
      <c r="H123" s="221"/>
      <c r="I123" s="221"/>
    </row>
    <row r="124" spans="1:9">
      <c r="A124" s="221"/>
      <c r="B124" s="221"/>
      <c r="C124" s="221"/>
      <c r="D124" s="221"/>
      <c r="E124" s="221"/>
      <c r="F124" s="221"/>
      <c r="G124" s="221"/>
      <c r="H124" s="221"/>
      <c r="I124" s="221"/>
    </row>
    <row r="125" spans="1:9">
      <c r="A125" s="221"/>
      <c r="B125" s="221"/>
      <c r="C125" s="221"/>
      <c r="D125" s="221"/>
      <c r="E125" s="221"/>
      <c r="F125" s="221"/>
      <c r="G125" s="221"/>
      <c r="H125" s="221"/>
      <c r="I125" s="221"/>
    </row>
    <row r="126" spans="1:9">
      <c r="A126" s="221"/>
      <c r="B126" s="221"/>
      <c r="C126" s="221"/>
      <c r="D126" s="221"/>
      <c r="E126" s="221"/>
      <c r="F126" s="221"/>
      <c r="G126" s="221"/>
      <c r="H126" s="221"/>
      <c r="I126" s="221"/>
    </row>
    <row r="127" spans="1:9">
      <c r="A127" s="221"/>
      <c r="B127" s="221"/>
      <c r="C127" s="221"/>
      <c r="D127" s="221"/>
      <c r="E127" s="221"/>
      <c r="F127" s="221"/>
      <c r="G127" s="221"/>
      <c r="H127" s="221"/>
      <c r="I127" s="221"/>
    </row>
    <row r="128" spans="1:9">
      <c r="A128" s="221"/>
      <c r="B128" s="221"/>
      <c r="C128" s="221"/>
      <c r="D128" s="221"/>
      <c r="E128" s="221"/>
      <c r="F128" s="221"/>
      <c r="G128" s="221"/>
      <c r="H128" s="221"/>
      <c r="I128" s="221"/>
    </row>
    <row r="129" spans="1:9">
      <c r="A129" s="221"/>
      <c r="B129" s="221"/>
      <c r="C129" s="221"/>
      <c r="D129" s="221"/>
      <c r="E129" s="221"/>
      <c r="F129" s="221"/>
      <c r="G129" s="221"/>
      <c r="H129" s="221"/>
      <c r="I129" s="221"/>
    </row>
    <row r="130" spans="1:9">
      <c r="A130" s="221"/>
      <c r="B130" s="221"/>
      <c r="C130" s="221"/>
      <c r="D130" s="221"/>
      <c r="E130" s="221"/>
      <c r="F130" s="221"/>
      <c r="G130" s="221"/>
      <c r="H130" s="221"/>
      <c r="I130" s="221"/>
    </row>
    <row r="131" spans="1:9">
      <c r="A131" s="221"/>
      <c r="B131" s="221"/>
      <c r="C131" s="221"/>
      <c r="D131" s="221"/>
      <c r="E131" s="221"/>
      <c r="F131" s="221"/>
      <c r="G131" s="221"/>
      <c r="H131" s="221"/>
      <c r="I131" s="221"/>
    </row>
    <row r="132" spans="1:9">
      <c r="A132" s="221"/>
      <c r="B132" s="221"/>
      <c r="C132" s="221"/>
      <c r="D132" s="221"/>
      <c r="E132" s="221"/>
      <c r="F132" s="221"/>
      <c r="G132" s="221"/>
      <c r="H132" s="221"/>
      <c r="I132" s="221"/>
    </row>
    <row r="133" spans="1:9">
      <c r="A133" s="221"/>
      <c r="B133" s="221"/>
      <c r="C133" s="221"/>
      <c r="D133" s="221"/>
      <c r="E133" s="221"/>
      <c r="F133" s="221"/>
      <c r="G133" s="221"/>
      <c r="H133" s="221"/>
      <c r="I133" s="221"/>
    </row>
    <row r="134" spans="1:9">
      <c r="A134" s="221"/>
      <c r="B134" s="221"/>
      <c r="C134" s="221"/>
      <c r="D134" s="221"/>
      <c r="E134" s="221"/>
      <c r="F134" s="221"/>
      <c r="G134" s="221"/>
      <c r="H134" s="221"/>
      <c r="I134" s="221"/>
    </row>
    <row r="135" spans="1:9">
      <c r="A135" s="221"/>
      <c r="B135" s="221"/>
      <c r="C135" s="221"/>
      <c r="D135" s="221"/>
      <c r="E135" s="221"/>
      <c r="F135" s="221"/>
      <c r="G135" s="221"/>
      <c r="H135" s="221"/>
      <c r="I135" s="221"/>
    </row>
    <row r="136" spans="1:9">
      <c r="A136" s="221"/>
      <c r="B136" s="221"/>
      <c r="C136" s="221"/>
      <c r="D136" s="221"/>
      <c r="E136" s="221"/>
      <c r="F136" s="221"/>
      <c r="G136" s="221"/>
      <c r="H136" s="221"/>
      <c r="I136" s="221"/>
    </row>
    <row r="137" spans="1:9">
      <c r="A137" s="221"/>
      <c r="B137" s="221"/>
      <c r="C137" s="221"/>
      <c r="D137" s="221"/>
      <c r="E137" s="221"/>
      <c r="F137" s="221"/>
      <c r="G137" s="221"/>
      <c r="H137" s="221"/>
      <c r="I137" s="221"/>
    </row>
    <row r="138" spans="1:9">
      <c r="A138" s="221"/>
      <c r="B138" s="221"/>
      <c r="C138" s="221"/>
      <c r="D138" s="221"/>
      <c r="E138" s="221"/>
      <c r="F138" s="221"/>
      <c r="G138" s="221"/>
      <c r="H138" s="221"/>
      <c r="I138" s="221"/>
    </row>
    <row r="139" spans="1:9">
      <c r="A139" s="221"/>
      <c r="B139" s="221"/>
      <c r="C139" s="221"/>
      <c r="D139" s="221"/>
      <c r="E139" s="221"/>
      <c r="F139" s="221"/>
      <c r="G139" s="221"/>
      <c r="H139" s="221"/>
      <c r="I139" s="221"/>
    </row>
    <row r="140" spans="1:9">
      <c r="A140" s="221"/>
      <c r="B140" s="221"/>
      <c r="C140" s="221"/>
      <c r="D140" s="221"/>
      <c r="E140" s="221"/>
      <c r="F140" s="221"/>
      <c r="G140" s="221"/>
      <c r="H140" s="221"/>
      <c r="I140" s="221"/>
    </row>
    <row r="141" spans="1:9">
      <c r="A141" s="221"/>
      <c r="B141" s="221"/>
      <c r="C141" s="221"/>
      <c r="D141" s="221"/>
      <c r="E141" s="221"/>
      <c r="F141" s="221"/>
      <c r="G141" s="221"/>
      <c r="H141" s="221"/>
      <c r="I141" s="221"/>
    </row>
    <row r="142" spans="1:9">
      <c r="A142" s="221"/>
      <c r="B142" s="221"/>
      <c r="C142" s="221"/>
      <c r="D142" s="221"/>
      <c r="E142" s="221"/>
      <c r="F142" s="221"/>
      <c r="G142" s="221"/>
      <c r="H142" s="221"/>
      <c r="I142" s="221"/>
    </row>
    <row r="143" spans="1:9">
      <c r="A143" s="221"/>
      <c r="B143" s="221"/>
      <c r="C143" s="221"/>
      <c r="D143" s="221"/>
      <c r="E143" s="221"/>
      <c r="F143" s="221"/>
      <c r="G143" s="221"/>
      <c r="H143" s="221"/>
      <c r="I143" s="221"/>
    </row>
    <row r="144" spans="1:9">
      <c r="A144" s="221"/>
      <c r="B144" s="221"/>
      <c r="C144" s="221"/>
      <c r="D144" s="221"/>
      <c r="E144" s="221"/>
      <c r="F144" s="221"/>
      <c r="G144" s="221"/>
      <c r="H144" s="221"/>
      <c r="I144" s="221"/>
    </row>
    <row r="145" spans="1:9">
      <c r="A145" s="221"/>
      <c r="B145" s="221"/>
      <c r="C145" s="221"/>
      <c r="D145" s="221"/>
      <c r="E145" s="221"/>
      <c r="F145" s="221"/>
      <c r="G145" s="221"/>
      <c r="H145" s="221"/>
      <c r="I145" s="221"/>
    </row>
    <row r="146" spans="1:9">
      <c r="A146" s="221"/>
      <c r="B146" s="221"/>
      <c r="C146" s="221"/>
      <c r="D146" s="221"/>
      <c r="E146" s="221"/>
      <c r="F146" s="221"/>
      <c r="G146" s="221"/>
      <c r="H146" s="221"/>
      <c r="I146" s="221"/>
    </row>
    <row r="147" spans="1:9">
      <c r="A147" s="221"/>
      <c r="B147" s="221"/>
      <c r="C147" s="221"/>
      <c r="D147" s="221"/>
      <c r="E147" s="221"/>
      <c r="F147" s="221"/>
      <c r="G147" s="221"/>
      <c r="H147" s="221"/>
      <c r="I147" s="221"/>
    </row>
    <row r="148" spans="1:9">
      <c r="A148" s="221"/>
      <c r="B148" s="221"/>
      <c r="C148" s="221"/>
      <c r="D148" s="221"/>
      <c r="E148" s="221"/>
      <c r="F148" s="221"/>
      <c r="G148" s="221"/>
      <c r="H148" s="221"/>
      <c r="I148" s="221"/>
    </row>
    <row r="149" spans="1:9">
      <c r="A149" s="221"/>
      <c r="B149" s="221"/>
      <c r="C149" s="221"/>
      <c r="D149" s="221"/>
      <c r="E149" s="221"/>
      <c r="F149" s="221"/>
      <c r="G149" s="221"/>
      <c r="H149" s="221"/>
      <c r="I149" s="221"/>
    </row>
    <row r="150" spans="1:9">
      <c r="A150" s="221"/>
      <c r="B150" s="221"/>
      <c r="C150" s="221"/>
      <c r="D150" s="221"/>
      <c r="E150" s="221"/>
      <c r="F150" s="221"/>
      <c r="G150" s="221"/>
      <c r="H150" s="221"/>
      <c r="I150" s="221"/>
    </row>
    <row r="151" spans="1:9">
      <c r="A151" s="221"/>
      <c r="B151" s="221"/>
      <c r="C151" s="221"/>
      <c r="D151" s="221"/>
      <c r="E151" s="221"/>
      <c r="F151" s="221"/>
      <c r="G151" s="221"/>
      <c r="H151" s="221"/>
      <c r="I151" s="221"/>
    </row>
    <row r="152" spans="1:9">
      <c r="A152" s="221"/>
      <c r="B152" s="221"/>
      <c r="C152" s="221"/>
      <c r="D152" s="221"/>
      <c r="E152" s="221"/>
      <c r="F152" s="221"/>
      <c r="G152" s="221"/>
      <c r="H152" s="221"/>
      <c r="I152" s="221"/>
    </row>
    <row r="153" spans="1:9">
      <c r="A153" s="221"/>
      <c r="B153" s="221"/>
      <c r="C153" s="221"/>
      <c r="D153" s="221"/>
      <c r="E153" s="221"/>
      <c r="F153" s="221"/>
      <c r="G153" s="221"/>
      <c r="H153" s="221"/>
      <c r="I153" s="221"/>
    </row>
    <row r="154" spans="1:9">
      <c r="A154" s="221"/>
      <c r="B154" s="221"/>
      <c r="C154" s="221"/>
      <c r="D154" s="221"/>
      <c r="E154" s="221"/>
      <c r="F154" s="221"/>
      <c r="G154" s="221"/>
      <c r="H154" s="221"/>
      <c r="I154" s="221"/>
    </row>
    <row r="155" spans="1:9">
      <c r="A155" s="221"/>
      <c r="B155" s="221"/>
      <c r="C155" s="221"/>
      <c r="D155" s="221"/>
      <c r="E155" s="221"/>
      <c r="F155" s="221"/>
      <c r="G155" s="221"/>
      <c r="H155" s="221"/>
      <c r="I155" s="221"/>
    </row>
    <row r="156" spans="1:9">
      <c r="A156" s="221"/>
      <c r="B156" s="221"/>
      <c r="C156" s="221"/>
      <c r="D156" s="221"/>
      <c r="E156" s="221"/>
      <c r="F156" s="221"/>
      <c r="G156" s="221"/>
      <c r="H156" s="221"/>
      <c r="I156" s="221"/>
    </row>
    <row r="157" spans="1:9">
      <c r="A157" s="221"/>
      <c r="B157" s="221"/>
      <c r="C157" s="221"/>
      <c r="D157" s="221"/>
      <c r="E157" s="221"/>
      <c r="F157" s="221"/>
      <c r="G157" s="221"/>
      <c r="H157" s="221"/>
      <c r="I157" s="221"/>
    </row>
    <row r="158" spans="1:9">
      <c r="A158" s="221"/>
      <c r="B158" s="221"/>
      <c r="C158" s="221"/>
      <c r="D158" s="221"/>
      <c r="E158" s="221"/>
      <c r="F158" s="221"/>
      <c r="G158" s="221"/>
      <c r="H158" s="221"/>
      <c r="I158" s="221"/>
    </row>
    <row r="159" spans="1:9">
      <c r="A159" s="221"/>
      <c r="B159" s="221"/>
      <c r="C159" s="221"/>
      <c r="D159" s="221"/>
      <c r="E159" s="221"/>
      <c r="F159" s="221"/>
      <c r="G159" s="221"/>
      <c r="H159" s="221"/>
      <c r="I159" s="221"/>
    </row>
    <row r="160" spans="1:9">
      <c r="A160" s="221"/>
      <c r="B160" s="221"/>
      <c r="C160" s="221"/>
      <c r="D160" s="221"/>
      <c r="E160" s="221"/>
      <c r="F160" s="221"/>
      <c r="G160" s="221"/>
      <c r="H160" s="221"/>
      <c r="I160" s="221"/>
    </row>
    <row r="161" spans="1:9">
      <c r="A161" s="221"/>
      <c r="B161" s="221"/>
      <c r="C161" s="221"/>
      <c r="D161" s="221"/>
      <c r="E161" s="221"/>
      <c r="F161" s="221"/>
      <c r="G161" s="221"/>
      <c r="H161" s="221"/>
      <c r="I161" s="221"/>
    </row>
    <row r="162" spans="1:9">
      <c r="A162" s="221"/>
      <c r="B162" s="221"/>
      <c r="C162" s="221"/>
      <c r="D162" s="221"/>
      <c r="E162" s="221"/>
      <c r="F162" s="221"/>
      <c r="G162" s="221"/>
      <c r="H162" s="221"/>
      <c r="I162" s="221"/>
    </row>
    <row r="163" spans="1:9">
      <c r="A163" s="221"/>
      <c r="B163" s="221"/>
      <c r="C163" s="221"/>
      <c r="D163" s="221"/>
      <c r="E163" s="221"/>
      <c r="F163" s="221"/>
      <c r="G163" s="221"/>
      <c r="H163" s="221"/>
      <c r="I163" s="221"/>
    </row>
    <row r="164" spans="1:9">
      <c r="A164" s="221"/>
      <c r="B164" s="221"/>
      <c r="C164" s="221"/>
      <c r="D164" s="221"/>
      <c r="E164" s="221"/>
      <c r="F164" s="221"/>
      <c r="G164" s="221"/>
      <c r="H164" s="221"/>
      <c r="I164" s="221"/>
    </row>
    <row r="165" spans="1:9">
      <c r="A165" s="221"/>
      <c r="B165" s="221"/>
      <c r="C165" s="221"/>
      <c r="D165" s="221"/>
      <c r="E165" s="221"/>
      <c r="F165" s="221"/>
      <c r="G165" s="221"/>
      <c r="H165" s="221"/>
      <c r="I165" s="221"/>
    </row>
    <row r="166" spans="1:9">
      <c r="A166" s="221"/>
      <c r="B166" s="221"/>
      <c r="C166" s="221"/>
      <c r="D166" s="221"/>
      <c r="E166" s="221"/>
      <c r="F166" s="221"/>
      <c r="G166" s="221"/>
      <c r="H166" s="221"/>
      <c r="I166" s="221"/>
    </row>
    <row r="167" spans="1:9">
      <c r="A167" s="221"/>
      <c r="B167" s="221"/>
      <c r="C167" s="221"/>
      <c r="D167" s="221"/>
      <c r="E167" s="221"/>
      <c r="F167" s="221"/>
      <c r="G167" s="221"/>
      <c r="H167" s="221"/>
      <c r="I167" s="221"/>
    </row>
    <row r="168" spans="1:9">
      <c r="A168" s="221"/>
      <c r="B168" s="221"/>
      <c r="C168" s="221"/>
      <c r="D168" s="221"/>
      <c r="E168" s="221"/>
      <c r="F168" s="221"/>
      <c r="G168" s="221"/>
      <c r="H168" s="221"/>
      <c r="I168" s="221"/>
    </row>
    <row r="169" spans="1:9">
      <c r="A169" s="221"/>
      <c r="B169" s="221"/>
      <c r="C169" s="221"/>
      <c r="D169" s="221"/>
      <c r="E169" s="221"/>
      <c r="F169" s="221"/>
      <c r="G169" s="221"/>
      <c r="H169" s="221"/>
      <c r="I169" s="221"/>
    </row>
    <row r="170" spans="1:9">
      <c r="A170" s="221"/>
      <c r="B170" s="221"/>
      <c r="C170" s="221"/>
      <c r="D170" s="221"/>
      <c r="E170" s="221"/>
      <c r="F170" s="221"/>
      <c r="G170" s="221"/>
      <c r="H170" s="221"/>
      <c r="I170" s="221"/>
    </row>
    <row r="171" spans="1:9">
      <c r="A171" s="221"/>
      <c r="B171" s="221"/>
      <c r="C171" s="221"/>
      <c r="D171" s="221"/>
      <c r="E171" s="221"/>
      <c r="F171" s="221"/>
      <c r="G171" s="221"/>
      <c r="H171" s="221"/>
      <c r="I171" s="221"/>
    </row>
    <row r="172" spans="1:9">
      <c r="A172" s="221"/>
      <c r="B172" s="221"/>
      <c r="C172" s="221"/>
      <c r="D172" s="221"/>
      <c r="E172" s="221"/>
      <c r="F172" s="221"/>
      <c r="G172" s="221"/>
      <c r="H172" s="221"/>
      <c r="I172" s="221"/>
    </row>
    <row r="173" spans="1:9">
      <c r="A173" s="221"/>
      <c r="B173" s="221"/>
      <c r="C173" s="221"/>
      <c r="D173" s="221"/>
      <c r="E173" s="221"/>
      <c r="F173" s="221"/>
      <c r="G173" s="221"/>
      <c r="H173" s="221"/>
      <c r="I173" s="221"/>
    </row>
    <row r="174" spans="1:9">
      <c r="A174" s="221"/>
      <c r="B174" s="221"/>
      <c r="C174" s="221"/>
      <c r="D174" s="221"/>
      <c r="E174" s="221"/>
      <c r="F174" s="221"/>
      <c r="G174" s="221"/>
      <c r="H174" s="221"/>
      <c r="I174" s="221"/>
    </row>
    <row r="175" spans="1:9">
      <c r="A175" s="221"/>
      <c r="B175" s="221"/>
      <c r="C175" s="221"/>
      <c r="D175" s="221"/>
      <c r="E175" s="221"/>
      <c r="F175" s="221"/>
      <c r="G175" s="221"/>
      <c r="H175" s="221"/>
      <c r="I175" s="221"/>
    </row>
    <row r="176" spans="1:9">
      <c r="A176" s="221"/>
      <c r="B176" s="221"/>
      <c r="C176" s="221"/>
      <c r="D176" s="221"/>
      <c r="E176" s="221"/>
      <c r="F176" s="221"/>
      <c r="G176" s="221"/>
      <c r="H176" s="221"/>
      <c r="I176" s="221"/>
    </row>
    <row r="177" spans="1:9">
      <c r="A177" s="221"/>
      <c r="B177" s="221"/>
      <c r="C177" s="221"/>
      <c r="D177" s="221"/>
      <c r="E177" s="221"/>
      <c r="F177" s="221"/>
      <c r="G177" s="221"/>
      <c r="H177" s="221"/>
      <c r="I177" s="221"/>
    </row>
    <row r="178" spans="1:9">
      <c r="A178" s="221"/>
      <c r="B178" s="221"/>
      <c r="C178" s="221"/>
      <c r="D178" s="221"/>
      <c r="E178" s="221"/>
      <c r="F178" s="221"/>
      <c r="G178" s="221"/>
      <c r="H178" s="221"/>
      <c r="I178" s="221"/>
    </row>
    <row r="179" spans="1:9">
      <c r="A179" s="221"/>
      <c r="B179" s="221"/>
      <c r="C179" s="221"/>
      <c r="D179" s="221"/>
      <c r="E179" s="221"/>
      <c r="F179" s="221"/>
      <c r="G179" s="221"/>
      <c r="H179" s="221"/>
      <c r="I179" s="221"/>
    </row>
    <row r="180" spans="1:9">
      <c r="A180" s="221"/>
      <c r="B180" s="221"/>
      <c r="C180" s="221"/>
      <c r="D180" s="221"/>
      <c r="E180" s="221"/>
      <c r="F180" s="221"/>
      <c r="G180" s="221"/>
      <c r="H180" s="221"/>
      <c r="I180" s="221"/>
    </row>
    <row r="181" spans="1:9">
      <c r="A181" s="221"/>
      <c r="B181" s="221"/>
      <c r="C181" s="221"/>
      <c r="D181" s="221"/>
      <c r="E181" s="221"/>
      <c r="F181" s="221"/>
      <c r="G181" s="221"/>
      <c r="H181" s="221"/>
      <c r="I181" s="221"/>
    </row>
    <row r="182" spans="1:9">
      <c r="A182" s="221"/>
      <c r="B182" s="221"/>
      <c r="C182" s="221"/>
      <c r="D182" s="221"/>
      <c r="E182" s="221"/>
      <c r="F182" s="221"/>
      <c r="G182" s="221"/>
      <c r="H182" s="221"/>
      <c r="I182" s="221"/>
    </row>
    <row r="183" spans="1:9">
      <c r="A183" s="221"/>
      <c r="B183" s="221"/>
      <c r="C183" s="221"/>
      <c r="D183" s="221"/>
      <c r="E183" s="221"/>
      <c r="F183" s="221"/>
      <c r="G183" s="221"/>
      <c r="H183" s="221"/>
      <c r="I183" s="221"/>
    </row>
    <row r="184" spans="1:9">
      <c r="A184" s="221"/>
      <c r="B184" s="221"/>
      <c r="C184" s="221"/>
      <c r="D184" s="221"/>
      <c r="E184" s="221"/>
      <c r="F184" s="221"/>
      <c r="G184" s="221"/>
      <c r="H184" s="221"/>
      <c r="I184" s="221"/>
    </row>
    <row r="185" spans="1:9">
      <c r="A185" s="221"/>
      <c r="B185" s="221"/>
      <c r="C185" s="221"/>
      <c r="D185" s="221"/>
      <c r="E185" s="221"/>
      <c r="F185" s="221"/>
      <c r="G185" s="221"/>
      <c r="H185" s="221"/>
      <c r="I185" s="221"/>
    </row>
    <row r="186" spans="1:9">
      <c r="A186" s="221"/>
      <c r="B186" s="221"/>
      <c r="C186" s="221"/>
      <c r="D186" s="221"/>
      <c r="E186" s="221"/>
      <c r="F186" s="221"/>
      <c r="G186" s="221"/>
      <c r="H186" s="221"/>
      <c r="I186" s="221"/>
    </row>
    <row r="187" spans="1:9">
      <c r="A187" s="221"/>
      <c r="B187" s="221"/>
      <c r="C187" s="221"/>
      <c r="D187" s="221"/>
      <c r="E187" s="221"/>
      <c r="F187" s="221"/>
      <c r="G187" s="221"/>
      <c r="H187" s="221"/>
      <c r="I187" s="221"/>
    </row>
    <row r="188" spans="1:9">
      <c r="A188" s="221"/>
      <c r="B188" s="221"/>
      <c r="C188" s="221"/>
      <c r="D188" s="221"/>
      <c r="E188" s="221"/>
      <c r="F188" s="221"/>
      <c r="G188" s="221"/>
      <c r="H188" s="221"/>
      <c r="I188" s="221"/>
    </row>
    <row r="189" spans="1:9">
      <c r="A189" s="221"/>
      <c r="B189" s="221"/>
      <c r="C189" s="221"/>
      <c r="D189" s="221"/>
      <c r="E189" s="221"/>
      <c r="F189" s="221"/>
      <c r="G189" s="221"/>
      <c r="H189" s="221"/>
      <c r="I189" s="221"/>
    </row>
    <row r="190" spans="1:9">
      <c r="A190" s="221"/>
      <c r="B190" s="221"/>
      <c r="C190" s="221"/>
      <c r="D190" s="221"/>
      <c r="E190" s="221"/>
      <c r="F190" s="221"/>
      <c r="G190" s="221"/>
      <c r="H190" s="221"/>
      <c r="I190" s="221"/>
    </row>
    <row r="191" spans="1:9">
      <c r="A191" s="221"/>
      <c r="B191" s="221"/>
      <c r="C191" s="221"/>
      <c r="D191" s="221"/>
      <c r="E191" s="221"/>
      <c r="F191" s="221"/>
      <c r="G191" s="221"/>
      <c r="H191" s="221"/>
      <c r="I191" s="221"/>
    </row>
    <row r="192" spans="1:9">
      <c r="A192" s="221"/>
      <c r="B192" s="221"/>
      <c r="C192" s="221"/>
      <c r="D192" s="221"/>
      <c r="E192" s="221"/>
      <c r="F192" s="221"/>
      <c r="G192" s="221"/>
      <c r="H192" s="221"/>
      <c r="I192" s="221"/>
    </row>
    <row r="193" spans="1:9">
      <c r="A193" s="221"/>
      <c r="B193" s="221"/>
      <c r="C193" s="221"/>
      <c r="D193" s="221"/>
      <c r="E193" s="221"/>
      <c r="F193" s="221"/>
      <c r="G193" s="221"/>
      <c r="H193" s="221"/>
      <c r="I193" s="221"/>
    </row>
    <row r="194" spans="1:9">
      <c r="A194" s="221"/>
      <c r="B194" s="221"/>
      <c r="C194" s="221"/>
      <c r="D194" s="221"/>
      <c r="E194" s="221"/>
      <c r="F194" s="221"/>
      <c r="G194" s="221"/>
      <c r="H194" s="221"/>
      <c r="I194" s="221"/>
    </row>
    <row r="195" spans="1:9">
      <c r="A195" s="221"/>
      <c r="B195" s="221"/>
      <c r="C195" s="221"/>
      <c r="D195" s="221"/>
      <c r="E195" s="221"/>
      <c r="F195" s="221"/>
      <c r="G195" s="221"/>
      <c r="H195" s="221"/>
      <c r="I195" s="221"/>
    </row>
    <row r="196" spans="1:9">
      <c r="A196" s="221"/>
      <c r="B196" s="221"/>
      <c r="C196" s="221"/>
      <c r="D196" s="221"/>
      <c r="E196" s="221"/>
      <c r="F196" s="221"/>
      <c r="G196" s="221"/>
      <c r="H196" s="221"/>
      <c r="I196" s="221"/>
    </row>
    <row r="197" spans="1:9">
      <c r="A197" s="221"/>
      <c r="B197" s="221"/>
      <c r="C197" s="221"/>
      <c r="D197" s="221"/>
      <c r="E197" s="221"/>
      <c r="F197" s="221"/>
      <c r="G197" s="221"/>
      <c r="H197" s="221"/>
      <c r="I197" s="221"/>
    </row>
    <row r="198" spans="1:9">
      <c r="A198" s="221"/>
      <c r="B198" s="221"/>
      <c r="C198" s="221"/>
      <c r="D198" s="221"/>
      <c r="E198" s="221"/>
      <c r="F198" s="221"/>
      <c r="G198" s="221"/>
      <c r="H198" s="221"/>
      <c r="I198" s="221"/>
    </row>
    <row r="199" spans="1:9">
      <c r="A199" s="221"/>
      <c r="B199" s="221"/>
      <c r="C199" s="221"/>
      <c r="D199" s="221"/>
      <c r="E199" s="221"/>
      <c r="F199" s="221"/>
      <c r="G199" s="221"/>
      <c r="H199" s="221"/>
      <c r="I199" s="221"/>
    </row>
    <row r="200" spans="1:9">
      <c r="A200" s="221"/>
      <c r="B200" s="221"/>
      <c r="C200" s="221"/>
      <c r="D200" s="221"/>
      <c r="E200" s="221"/>
      <c r="F200" s="221"/>
      <c r="G200" s="221"/>
      <c r="H200" s="221"/>
      <c r="I200" s="221"/>
    </row>
    <row r="201" spans="1:9">
      <c r="A201" s="221"/>
      <c r="B201" s="221"/>
      <c r="C201" s="221"/>
      <c r="D201" s="221"/>
      <c r="E201" s="221"/>
      <c r="F201" s="221"/>
      <c r="G201" s="221"/>
      <c r="H201" s="221"/>
      <c r="I201" s="221"/>
    </row>
    <row r="202" spans="1:9">
      <c r="A202" s="221"/>
      <c r="B202" s="221"/>
      <c r="C202" s="221"/>
      <c r="D202" s="221"/>
      <c r="E202" s="221"/>
      <c r="F202" s="221"/>
      <c r="G202" s="221"/>
      <c r="H202" s="221"/>
      <c r="I202" s="221"/>
    </row>
    <row r="203" spans="1:9">
      <c r="A203" s="221"/>
      <c r="B203" s="221"/>
      <c r="C203" s="221"/>
      <c r="D203" s="221"/>
      <c r="E203" s="221"/>
      <c r="F203" s="221"/>
      <c r="G203" s="221"/>
      <c r="H203" s="221"/>
      <c r="I203" s="221"/>
    </row>
    <row r="204" spans="1:9">
      <c r="A204" s="221"/>
      <c r="B204" s="221"/>
      <c r="C204" s="221"/>
      <c r="D204" s="221"/>
      <c r="E204" s="221"/>
      <c r="F204" s="221"/>
      <c r="G204" s="221"/>
      <c r="H204" s="221"/>
      <c r="I204" s="221"/>
    </row>
    <row r="205" spans="1:9">
      <c r="A205" s="221"/>
      <c r="B205" s="221"/>
      <c r="C205" s="221"/>
      <c r="D205" s="221"/>
      <c r="E205" s="221"/>
      <c r="F205" s="221"/>
      <c r="G205" s="221"/>
      <c r="H205" s="221"/>
      <c r="I205" s="221"/>
    </row>
    <row r="206" spans="1:9">
      <c r="A206" s="221"/>
      <c r="B206" s="221"/>
      <c r="C206" s="221"/>
      <c r="D206" s="221"/>
      <c r="E206" s="221"/>
      <c r="F206" s="221"/>
      <c r="G206" s="221"/>
      <c r="H206" s="221"/>
      <c r="I206" s="221"/>
    </row>
    <row r="207" spans="1:9">
      <c r="A207" s="221"/>
      <c r="B207" s="221"/>
      <c r="C207" s="221"/>
      <c r="D207" s="221"/>
      <c r="E207" s="221"/>
      <c r="F207" s="221"/>
      <c r="G207" s="221"/>
      <c r="H207" s="221"/>
      <c r="I207" s="221"/>
    </row>
    <row r="208" spans="1:9">
      <c r="A208" s="221"/>
      <c r="B208" s="221"/>
      <c r="C208" s="221"/>
      <c r="D208" s="221"/>
      <c r="E208" s="221"/>
      <c r="F208" s="221"/>
      <c r="G208" s="221"/>
      <c r="H208" s="221"/>
      <c r="I208" s="221"/>
    </row>
  </sheetData>
  <phoneticPr fontId="19" type="noConversion"/>
  <pageMargins left="0.78740157480314965" right="0.39370078740157483" top="0.98425196850393704" bottom="0.98425196850393704" header="0.51181102362204722" footer="0.51181102362204722"/>
  <pageSetup paperSize="5" scale="70" orientation="portrait" horizontalDpi="300" verticalDpi="300" r:id="rId1"/>
  <headerFooter alignWithMargins="0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66"/>
  <sheetViews>
    <sheetView topLeftCell="A12" workbookViewId="0">
      <selection activeCell="M11" sqref="M11"/>
    </sheetView>
  </sheetViews>
  <sheetFormatPr baseColWidth="10" defaultRowHeight="12.75"/>
  <cols>
    <col min="1" max="1" width="7.28515625" customWidth="1"/>
    <col min="2" max="7" width="9" customWidth="1"/>
    <col min="8" max="10" width="8.85546875" customWidth="1"/>
    <col min="11" max="12" width="6.42578125" style="221" customWidth="1"/>
    <col min="13" max="13" width="8.28515625" style="221" customWidth="1"/>
    <col min="14" max="14" width="8.5703125" style="221" customWidth="1"/>
    <col min="15" max="15" width="6.42578125" style="221" customWidth="1"/>
    <col min="16" max="16" width="8.140625" style="221" customWidth="1"/>
    <col min="17" max="18" width="6.42578125" style="221" customWidth="1"/>
    <col min="19" max="19" width="7.28515625" style="221" customWidth="1"/>
    <col min="20" max="21" width="6.42578125" style="221" customWidth="1"/>
    <col min="22" max="22" width="6.5703125" style="221" customWidth="1"/>
    <col min="23" max="24" width="6.5703125" customWidth="1"/>
  </cols>
  <sheetData>
    <row r="1" spans="1:24">
      <c r="A1" s="83" t="s">
        <v>78</v>
      </c>
      <c r="B1" s="84"/>
      <c r="C1" s="1"/>
      <c r="D1" s="1"/>
      <c r="E1" s="1"/>
      <c r="F1" s="1"/>
      <c r="G1" s="1"/>
      <c r="H1" s="1"/>
      <c r="I1" s="1"/>
      <c r="J1" s="172"/>
    </row>
    <row r="2" spans="1:24">
      <c r="A2" s="83" t="s">
        <v>79</v>
      </c>
      <c r="B2" s="84"/>
      <c r="C2" s="1"/>
      <c r="D2" s="1"/>
      <c r="E2" s="1"/>
      <c r="F2" s="1"/>
      <c r="G2" s="1"/>
      <c r="H2" s="1"/>
      <c r="I2" s="1"/>
      <c r="J2" s="172"/>
    </row>
    <row r="3" spans="1:24">
      <c r="A3" s="83" t="s">
        <v>80</v>
      </c>
      <c r="B3" s="84"/>
      <c r="C3" s="1"/>
      <c r="D3" s="1"/>
      <c r="E3" s="1"/>
      <c r="F3" s="1"/>
      <c r="G3" s="1"/>
      <c r="H3" s="1"/>
      <c r="I3" s="1"/>
      <c r="J3" s="172"/>
    </row>
    <row r="4" spans="1:24">
      <c r="A4" s="83"/>
      <c r="B4" s="84"/>
      <c r="C4" s="1"/>
      <c r="D4" s="1"/>
      <c r="E4" s="1"/>
      <c r="F4" s="1"/>
      <c r="G4" s="1"/>
      <c r="H4" s="1"/>
      <c r="I4" s="1"/>
      <c r="J4" s="172"/>
    </row>
    <row r="5" spans="1:24">
      <c r="A5" s="3" t="s">
        <v>1458</v>
      </c>
      <c r="B5" s="84"/>
      <c r="C5" s="1"/>
      <c r="D5" s="1"/>
      <c r="E5" s="1"/>
      <c r="F5" s="1"/>
      <c r="G5" s="1"/>
      <c r="H5" s="1"/>
      <c r="I5" s="1"/>
      <c r="J5" s="172"/>
    </row>
    <row r="6" spans="1:24">
      <c r="J6" s="172"/>
    </row>
    <row r="7" spans="1:24">
      <c r="J7" s="172"/>
      <c r="K7"/>
      <c r="L7"/>
      <c r="M7" s="282" t="s">
        <v>81</v>
      </c>
      <c r="N7" s="282"/>
      <c r="O7" s="282"/>
      <c r="P7" s="282" t="s">
        <v>82</v>
      </c>
      <c r="Q7" s="282"/>
      <c r="R7" s="282"/>
      <c r="S7" s="282" t="s">
        <v>964</v>
      </c>
      <c r="T7" s="282"/>
      <c r="U7" s="282"/>
      <c r="V7" s="282" t="s">
        <v>965</v>
      </c>
      <c r="W7" s="282"/>
      <c r="X7" s="282"/>
    </row>
    <row r="8" spans="1:24" s="6" customFormat="1" ht="16.5" customHeight="1">
      <c r="A8" s="280" t="s">
        <v>709</v>
      </c>
      <c r="B8" s="485" t="s">
        <v>47</v>
      </c>
      <c r="C8" s="170"/>
      <c r="D8" s="485" t="s">
        <v>964</v>
      </c>
      <c r="E8" s="170"/>
      <c r="F8" s="169" t="s">
        <v>965</v>
      </c>
      <c r="G8" s="169"/>
      <c r="H8" s="485" t="s">
        <v>571</v>
      </c>
      <c r="I8" s="170"/>
      <c r="J8" s="569"/>
      <c r="K8"/>
      <c r="L8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</row>
    <row r="9" spans="1:24" s="6" customFormat="1" ht="16.5" customHeight="1">
      <c r="A9" s="734"/>
      <c r="B9" s="257" t="s">
        <v>83</v>
      </c>
      <c r="C9" s="259" t="s">
        <v>1159</v>
      </c>
      <c r="D9" s="257" t="s">
        <v>83</v>
      </c>
      <c r="E9" s="259" t="s">
        <v>1159</v>
      </c>
      <c r="F9" s="450" t="s">
        <v>83</v>
      </c>
      <c r="G9" s="450" t="s">
        <v>1159</v>
      </c>
      <c r="H9" s="257" t="s">
        <v>83</v>
      </c>
      <c r="I9" s="259" t="s">
        <v>1159</v>
      </c>
      <c r="J9" s="311"/>
      <c r="K9"/>
      <c r="L9"/>
      <c r="M9" s="282" t="s">
        <v>84</v>
      </c>
      <c r="N9" s="282" t="s">
        <v>85</v>
      </c>
      <c r="O9" s="282" t="s">
        <v>86</v>
      </c>
      <c r="P9" s="282" t="s">
        <v>84</v>
      </c>
      <c r="Q9" s="282" t="s">
        <v>85</v>
      </c>
      <c r="R9" s="282" t="s">
        <v>86</v>
      </c>
      <c r="S9" s="282" t="s">
        <v>84</v>
      </c>
      <c r="T9" s="282" t="s">
        <v>85</v>
      </c>
      <c r="U9" s="282" t="s">
        <v>86</v>
      </c>
      <c r="V9" s="282" t="s">
        <v>84</v>
      </c>
      <c r="W9" s="282" t="s">
        <v>85</v>
      </c>
      <c r="X9" s="282" t="s">
        <v>86</v>
      </c>
    </row>
    <row r="10" spans="1:24" s="6" customFormat="1" ht="16.5" customHeight="1">
      <c r="A10" s="204">
        <v>2005</v>
      </c>
      <c r="B10" s="278">
        <v>3922</v>
      </c>
      <c r="C10" s="735">
        <v>1240</v>
      </c>
      <c r="D10" s="278">
        <v>3204</v>
      </c>
      <c r="E10" s="735">
        <v>1023</v>
      </c>
      <c r="F10" s="736">
        <v>0</v>
      </c>
      <c r="G10" s="736">
        <v>0</v>
      </c>
      <c r="H10" s="278">
        <v>7126</v>
      </c>
      <c r="I10" s="735">
        <v>2263</v>
      </c>
      <c r="J10" s="173"/>
      <c r="K10"/>
      <c r="L10"/>
      <c r="M10">
        <f>+'84'!O10</f>
        <v>245434</v>
      </c>
      <c r="N10">
        <f t="shared" ref="N10:N18" si="0">+H10/M10*100</f>
        <v>2.903428212880041</v>
      </c>
      <c r="O10">
        <f t="shared" ref="O10:O18" si="1">+I10/M10*100</f>
        <v>0.92204014113773969</v>
      </c>
      <c r="P10">
        <f>+'84'!R10</f>
        <v>107832</v>
      </c>
      <c r="Q10">
        <f t="shared" ref="Q10:Q18" si="2">+B10/P10*100</f>
        <v>3.6371392536538316</v>
      </c>
      <c r="R10">
        <f t="shared" ref="R10:R18" si="3">+C10/P10*100</f>
        <v>1.149936938942058</v>
      </c>
      <c r="S10">
        <f>+'84'!U10</f>
        <v>101913</v>
      </c>
      <c r="T10">
        <f t="shared" ref="T10:T18" si="4">+D10/S10*100</f>
        <v>3.1438579965264486</v>
      </c>
      <c r="U10">
        <f t="shared" ref="U10:U18" si="5">+E10/S10*100</f>
        <v>1.0037973565688383</v>
      </c>
      <c r="V10">
        <f>+'84'!X10</f>
        <v>35689</v>
      </c>
      <c r="W10">
        <f t="shared" ref="W10:W18" si="6">+F10/V10*100</f>
        <v>0</v>
      </c>
      <c r="X10">
        <f t="shared" ref="X10:X18" si="7">+G10/V10*100</f>
        <v>0</v>
      </c>
    </row>
    <row r="11" spans="1:24" s="6" customFormat="1" ht="16.5" customHeight="1">
      <c r="A11" s="204">
        <v>2006</v>
      </c>
      <c r="B11" s="278">
        <v>3926</v>
      </c>
      <c r="C11" s="735">
        <v>1234</v>
      </c>
      <c r="D11" s="278">
        <v>3154</v>
      </c>
      <c r="E11" s="735">
        <v>1111</v>
      </c>
      <c r="F11" s="736">
        <v>0</v>
      </c>
      <c r="G11" s="736">
        <v>0</v>
      </c>
      <c r="H11" s="278">
        <v>7080</v>
      </c>
      <c r="I11" s="735">
        <v>2345</v>
      </c>
      <c r="J11" s="173"/>
      <c r="K11"/>
      <c r="L11"/>
      <c r="M11">
        <f>+'84'!O11</f>
        <v>248714</v>
      </c>
      <c r="N11">
        <f t="shared" si="0"/>
        <v>2.8466431322724093</v>
      </c>
      <c r="O11">
        <f t="shared" si="1"/>
        <v>0.94285002050548028</v>
      </c>
      <c r="P11">
        <f>+'84'!R11</f>
        <v>109302</v>
      </c>
      <c r="Q11">
        <f t="shared" si="2"/>
        <v>3.5918830396516075</v>
      </c>
      <c r="R11">
        <f t="shared" si="3"/>
        <v>1.1289820863296189</v>
      </c>
      <c r="S11">
        <f>+'84'!U11</f>
        <v>103515</v>
      </c>
      <c r="T11">
        <f t="shared" si="4"/>
        <v>3.0469014152538278</v>
      </c>
      <c r="U11">
        <f t="shared" si="5"/>
        <v>1.0732744046756508</v>
      </c>
      <c r="V11">
        <f>+'84'!X11</f>
        <v>35897</v>
      </c>
      <c r="W11">
        <f t="shared" si="6"/>
        <v>0</v>
      </c>
      <c r="X11">
        <f t="shared" si="7"/>
        <v>0</v>
      </c>
    </row>
    <row r="12" spans="1:24" s="6" customFormat="1" ht="17.25" customHeight="1">
      <c r="A12" s="204">
        <v>2007</v>
      </c>
      <c r="B12" s="278">
        <v>3769</v>
      </c>
      <c r="C12" s="735">
        <v>1561</v>
      </c>
      <c r="D12" s="278">
        <v>3263</v>
      </c>
      <c r="E12" s="735">
        <v>1014</v>
      </c>
      <c r="F12" s="736">
        <v>0</v>
      </c>
      <c r="G12" s="736">
        <v>0</v>
      </c>
      <c r="H12" s="278">
        <v>7032</v>
      </c>
      <c r="I12" s="735">
        <v>2575</v>
      </c>
      <c r="J12" s="173"/>
      <c r="K12"/>
      <c r="L12"/>
      <c r="M12">
        <f>+'84'!O12</f>
        <v>252006</v>
      </c>
      <c r="N12">
        <f t="shared" si="0"/>
        <v>2.7904097521487583</v>
      </c>
      <c r="O12">
        <f t="shared" si="1"/>
        <v>1.0218010682285343</v>
      </c>
      <c r="P12">
        <f>+'84'!R12</f>
        <v>110771</v>
      </c>
      <c r="Q12">
        <f t="shared" si="2"/>
        <v>3.4025150987171728</v>
      </c>
      <c r="R12">
        <f t="shared" si="3"/>
        <v>1.409213602838288</v>
      </c>
      <c r="S12">
        <f>+'84'!U12</f>
        <v>105143</v>
      </c>
      <c r="T12">
        <f t="shared" si="4"/>
        <v>3.1033925225645071</v>
      </c>
      <c r="U12">
        <f t="shared" si="5"/>
        <v>0.96440086358578325</v>
      </c>
      <c r="V12">
        <f>+'84'!X12</f>
        <v>36092</v>
      </c>
      <c r="W12">
        <f t="shared" si="6"/>
        <v>0</v>
      </c>
      <c r="X12">
        <f t="shared" si="7"/>
        <v>0</v>
      </c>
    </row>
    <row r="13" spans="1:24" s="6" customFormat="1" ht="17.25" customHeight="1">
      <c r="A13" s="252">
        <v>2008</v>
      </c>
      <c r="B13" s="736">
        <v>4057</v>
      </c>
      <c r="C13" s="735">
        <v>1646</v>
      </c>
      <c r="D13" s="736">
        <v>3246</v>
      </c>
      <c r="E13" s="735">
        <v>1032</v>
      </c>
      <c r="F13" s="736">
        <v>0</v>
      </c>
      <c r="G13" s="735">
        <v>0</v>
      </c>
      <c r="H13" s="736">
        <v>7303</v>
      </c>
      <c r="I13" s="735">
        <v>2678</v>
      </c>
      <c r="J13" s="173"/>
      <c r="K13"/>
      <c r="L13"/>
      <c r="M13">
        <f>+'84'!O13</f>
        <v>255306</v>
      </c>
      <c r="N13">
        <f t="shared" si="0"/>
        <v>2.8604889818492318</v>
      </c>
      <c r="O13">
        <f t="shared" si="1"/>
        <v>1.0489373536070441</v>
      </c>
      <c r="P13">
        <f>+'84'!R13</f>
        <v>112245</v>
      </c>
      <c r="Q13">
        <f t="shared" si="2"/>
        <v>3.6144148959864584</v>
      </c>
      <c r="R13">
        <f t="shared" si="3"/>
        <v>1.4664350305136087</v>
      </c>
      <c r="S13">
        <f>+'84'!U13</f>
        <v>106765</v>
      </c>
      <c r="T13" s="227">
        <f t="shared" si="4"/>
        <v>3.0403222029691377</v>
      </c>
      <c r="U13">
        <f t="shared" si="5"/>
        <v>0.96660890741347827</v>
      </c>
      <c r="V13">
        <f>+'84'!X13</f>
        <v>36296</v>
      </c>
      <c r="W13">
        <f t="shared" si="6"/>
        <v>0</v>
      </c>
      <c r="X13">
        <f t="shared" si="7"/>
        <v>0</v>
      </c>
    </row>
    <row r="14" spans="1:24" s="6" customFormat="1" ht="17.25" customHeight="1">
      <c r="A14" s="675">
        <v>2009</v>
      </c>
      <c r="B14" s="208">
        <v>4188</v>
      </c>
      <c r="C14" s="206">
        <v>1711</v>
      </c>
      <c r="D14" s="208">
        <v>2815</v>
      </c>
      <c r="E14" s="206">
        <v>1136</v>
      </c>
      <c r="F14" s="208">
        <v>3</v>
      </c>
      <c r="G14" s="206">
        <v>11</v>
      </c>
      <c r="H14" s="736">
        <v>7006</v>
      </c>
      <c r="I14" s="735">
        <v>2858</v>
      </c>
      <c r="J14" s="173"/>
      <c r="K14"/>
      <c r="L14"/>
      <c r="M14">
        <f>+'84'!O14</f>
        <v>258574</v>
      </c>
      <c r="N14">
        <f t="shared" si="0"/>
        <v>2.7094758173675624</v>
      </c>
      <c r="O14">
        <f t="shared" si="1"/>
        <v>1.1052928755404641</v>
      </c>
      <c r="P14">
        <f>+'84'!R14</f>
        <v>113725</v>
      </c>
      <c r="Q14">
        <f t="shared" si="2"/>
        <v>3.6825675972741263</v>
      </c>
      <c r="R14">
        <f t="shared" si="3"/>
        <v>1.5045064849417455</v>
      </c>
      <c r="S14">
        <f>+'84'!U14</f>
        <v>108360</v>
      </c>
      <c r="T14">
        <f t="shared" si="4"/>
        <v>2.5978220745662606</v>
      </c>
      <c r="U14">
        <f t="shared" si="5"/>
        <v>1.048357327427095</v>
      </c>
      <c r="V14">
        <f>+'84'!X14</f>
        <v>36489</v>
      </c>
      <c r="W14">
        <f t="shared" si="6"/>
        <v>8.2216558414864756E-3</v>
      </c>
      <c r="X14">
        <f t="shared" si="7"/>
        <v>3.0146071418783744E-2</v>
      </c>
    </row>
    <row r="15" spans="1:24" ht="17.25" customHeight="1">
      <c r="A15" s="675">
        <v>2010</v>
      </c>
      <c r="B15" s="208">
        <v>3683</v>
      </c>
      <c r="C15" s="206">
        <v>1406</v>
      </c>
      <c r="D15" s="208">
        <v>3491</v>
      </c>
      <c r="E15" s="206">
        <v>1455</v>
      </c>
      <c r="F15" s="208">
        <v>1</v>
      </c>
      <c r="G15" s="206">
        <v>4</v>
      </c>
      <c r="H15" s="736">
        <v>7175</v>
      </c>
      <c r="I15" s="735">
        <v>2865</v>
      </c>
      <c r="J15" s="173"/>
      <c r="K15"/>
      <c r="L15"/>
      <c r="M15">
        <f>+'84'!O15</f>
        <v>261886</v>
      </c>
      <c r="N15">
        <f t="shared" si="0"/>
        <v>2.739741719679555</v>
      </c>
      <c r="O15">
        <f t="shared" si="1"/>
        <v>1.093987460192603</v>
      </c>
      <c r="P15">
        <f>+'84'!R15</f>
        <v>115203</v>
      </c>
      <c r="Q15">
        <f t="shared" si="2"/>
        <v>3.1969653568049443</v>
      </c>
      <c r="R15">
        <f t="shared" si="3"/>
        <v>1.2204543284463079</v>
      </c>
      <c r="S15">
        <f>+'84'!U15</f>
        <v>109991</v>
      </c>
      <c r="T15">
        <f t="shared" si="4"/>
        <v>3.1738960460401304</v>
      </c>
      <c r="U15">
        <f t="shared" si="5"/>
        <v>1.3228355047231137</v>
      </c>
      <c r="V15">
        <f>+'84'!X15</f>
        <v>36692</v>
      </c>
      <c r="W15">
        <f t="shared" si="6"/>
        <v>2.7253897307314948E-3</v>
      </c>
      <c r="X15">
        <f t="shared" si="7"/>
        <v>1.0901558922925979E-2</v>
      </c>
    </row>
    <row r="16" spans="1:24" ht="17.25" customHeight="1">
      <c r="A16" s="675">
        <v>2011</v>
      </c>
      <c r="B16" s="208">
        <v>4775</v>
      </c>
      <c r="C16" s="206">
        <v>1479</v>
      </c>
      <c r="D16" s="208">
        <v>4199</v>
      </c>
      <c r="E16" s="206">
        <v>1803</v>
      </c>
      <c r="F16" s="208">
        <v>0</v>
      </c>
      <c r="G16" s="206">
        <v>12</v>
      </c>
      <c r="H16" s="736">
        <v>8974</v>
      </c>
      <c r="I16" s="735">
        <v>3294</v>
      </c>
      <c r="J16" s="173"/>
      <c r="K16"/>
      <c r="L16"/>
      <c r="M16">
        <f>+'84'!O16</f>
        <v>264902</v>
      </c>
      <c r="N16">
        <f t="shared" si="0"/>
        <v>3.3876678922771442</v>
      </c>
      <c r="O16">
        <f t="shared" si="1"/>
        <v>1.243478720432462</v>
      </c>
      <c r="P16">
        <f>+'84'!R16</f>
        <v>116578</v>
      </c>
      <c r="Q16">
        <f t="shared" si="2"/>
        <v>4.0959700801180325</v>
      </c>
      <c r="R16">
        <f t="shared" si="3"/>
        <v>1.2686784813601195</v>
      </c>
      <c r="S16">
        <f>+'84'!U16</f>
        <v>111485</v>
      </c>
      <c r="T16">
        <f t="shared" si="4"/>
        <v>3.7664259765887791</v>
      </c>
      <c r="U16">
        <f t="shared" si="5"/>
        <v>1.6172579270753911</v>
      </c>
      <c r="V16">
        <f>+'84'!X16</f>
        <v>36839</v>
      </c>
      <c r="W16">
        <f t="shared" si="6"/>
        <v>0</v>
      </c>
      <c r="X16">
        <f t="shared" si="7"/>
        <v>3.2574174108960616E-2</v>
      </c>
    </row>
    <row r="17" spans="1:24" ht="17.25" customHeight="1">
      <c r="A17" s="675">
        <v>2012</v>
      </c>
      <c r="B17" s="208">
        <v>5231</v>
      </c>
      <c r="C17" s="206">
        <v>1416</v>
      </c>
      <c r="D17" s="208">
        <v>4069</v>
      </c>
      <c r="E17" s="206">
        <v>1880</v>
      </c>
      <c r="F17" s="208">
        <v>0</v>
      </c>
      <c r="G17" s="206">
        <v>0</v>
      </c>
      <c r="H17" s="736">
        <v>9300</v>
      </c>
      <c r="I17" s="735">
        <v>3296</v>
      </c>
      <c r="J17" s="173"/>
      <c r="K17"/>
      <c r="L17"/>
      <c r="M17">
        <f>+'84'!O17</f>
        <v>267912</v>
      </c>
      <c r="N17">
        <f t="shared" si="0"/>
        <v>3.4712890799964167</v>
      </c>
      <c r="O17">
        <f t="shared" si="1"/>
        <v>1.2302547105019559</v>
      </c>
      <c r="P17">
        <f>+'84'!R17</f>
        <v>117972</v>
      </c>
      <c r="Q17">
        <f t="shared" si="2"/>
        <v>4.4341030074933032</v>
      </c>
      <c r="R17">
        <f t="shared" si="3"/>
        <v>1.2002848133455397</v>
      </c>
      <c r="S17">
        <f>+'84'!U17</f>
        <v>112982</v>
      </c>
      <c r="T17">
        <f t="shared" si="4"/>
        <v>3.60145863942929</v>
      </c>
      <c r="U17">
        <f t="shared" si="5"/>
        <v>1.663981873218743</v>
      </c>
      <c r="V17">
        <f>+'84'!X17</f>
        <v>36958</v>
      </c>
      <c r="W17">
        <f t="shared" si="6"/>
        <v>0</v>
      </c>
      <c r="X17">
        <f t="shared" si="7"/>
        <v>0</v>
      </c>
    </row>
    <row r="18" spans="1:24" ht="17.25" customHeight="1">
      <c r="A18" s="675">
        <v>2013</v>
      </c>
      <c r="B18" s="208">
        <v>5295</v>
      </c>
      <c r="C18" s="206">
        <v>1554</v>
      </c>
      <c r="D18" s="208">
        <v>3949</v>
      </c>
      <c r="E18" s="206">
        <v>1749</v>
      </c>
      <c r="F18" s="208">
        <v>0</v>
      </c>
      <c r="G18" s="206">
        <v>0</v>
      </c>
      <c r="H18" s="736">
        <v>9244</v>
      </c>
      <c r="I18" s="735">
        <v>3303</v>
      </c>
      <c r="J18" s="173"/>
      <c r="K18"/>
      <c r="L18"/>
      <c r="M18">
        <f>+'84'!O18</f>
        <v>270947</v>
      </c>
      <c r="N18">
        <f t="shared" si="0"/>
        <v>3.411737350847214</v>
      </c>
      <c r="O18" s="227">
        <f t="shared" si="1"/>
        <v>1.2190576016711756</v>
      </c>
      <c r="P18">
        <f>+'84'!R18</f>
        <v>119349</v>
      </c>
      <c r="Q18">
        <f t="shared" si="2"/>
        <v>4.4365683834803811</v>
      </c>
      <c r="R18">
        <f t="shared" si="3"/>
        <v>1.3020636955483498</v>
      </c>
      <c r="S18">
        <f>+'84'!U18</f>
        <v>114496</v>
      </c>
      <c r="T18">
        <f t="shared" si="4"/>
        <v>3.4490287870318617</v>
      </c>
      <c r="U18">
        <f t="shared" si="5"/>
        <v>1.5275642817216322</v>
      </c>
      <c r="V18">
        <f>+'84'!X18</f>
        <v>37102</v>
      </c>
      <c r="W18">
        <f t="shared" si="6"/>
        <v>0</v>
      </c>
      <c r="X18">
        <f t="shared" si="7"/>
        <v>0</v>
      </c>
    </row>
    <row r="19" spans="1:24" ht="17.25" customHeight="1">
      <c r="A19" s="737">
        <v>2014</v>
      </c>
      <c r="B19" s="738">
        <f>SUM('79'!C8:C11)</f>
        <v>5667</v>
      </c>
      <c r="C19" s="739">
        <f>+'79'!C12+'79'!C13</f>
        <v>1506</v>
      </c>
      <c r="D19" s="738">
        <f>SUM('79'!D8:D11)</f>
        <v>3879</v>
      </c>
      <c r="E19" s="739">
        <f>+'79'!D12+'79'!D13</f>
        <v>1913</v>
      </c>
      <c r="F19" s="738">
        <f>+'79'!E8+'79'!E10</f>
        <v>0</v>
      </c>
      <c r="G19" s="739">
        <f>+'79'!E11+'79'!E13</f>
        <v>0</v>
      </c>
      <c r="H19" s="738">
        <f>+B19+D19+F19</f>
        <v>9546</v>
      </c>
      <c r="I19" s="739">
        <f>+C19+E19+G19</f>
        <v>3419</v>
      </c>
      <c r="J19" s="173"/>
      <c r="K19"/>
      <c r="L19"/>
      <c r="M19">
        <f>+'84'!O19</f>
        <v>273968</v>
      </c>
      <c r="N19">
        <f>+H19/M19*100</f>
        <v>3.4843485370554226</v>
      </c>
      <c r="O19">
        <f>+I19/M19*100</f>
        <v>1.247955965660223</v>
      </c>
      <c r="P19">
        <f>+'84'!R19</f>
        <v>120741</v>
      </c>
      <c r="Q19">
        <f>+B19/P19*100</f>
        <v>4.6935175292568392</v>
      </c>
      <c r="R19">
        <f>+C19/P19*100</f>
        <v>1.2472979352498323</v>
      </c>
      <c r="S19">
        <f>+'84'!U19</f>
        <v>115998</v>
      </c>
      <c r="T19">
        <f>+D19/S19*100</f>
        <v>3.3440231728133241</v>
      </c>
      <c r="U19">
        <f>+E19/S19*100</f>
        <v>1.6491663649373263</v>
      </c>
      <c r="V19">
        <f>+'84'!X19</f>
        <v>37229</v>
      </c>
      <c r="W19">
        <f>+F19/V19*100</f>
        <v>0</v>
      </c>
      <c r="X19">
        <f>+G19/V19*100</f>
        <v>0</v>
      </c>
    </row>
    <row r="20" spans="1:24">
      <c r="A20" s="740"/>
      <c r="B20" s="741"/>
      <c r="C20" s="741"/>
      <c r="D20" s="741"/>
      <c r="E20" s="741"/>
      <c r="F20" s="741"/>
      <c r="G20" s="741"/>
      <c r="H20" s="173"/>
      <c r="I20" s="173"/>
      <c r="J20" s="173"/>
      <c r="K20" s="168"/>
      <c r="L20" s="742"/>
      <c r="M20" s="742"/>
      <c r="N20" s="168"/>
      <c r="O20" s="742"/>
      <c r="P20" s="742"/>
      <c r="Q20" s="168"/>
      <c r="R20" s="742"/>
      <c r="S20" s="742"/>
      <c r="T20" s="168"/>
      <c r="U20" s="742"/>
      <c r="V20" s="742"/>
      <c r="W20" s="361"/>
    </row>
    <row r="21" spans="1:24">
      <c r="A21" s="740"/>
      <c r="B21" s="741"/>
      <c r="C21" s="741"/>
      <c r="D21" s="741"/>
      <c r="E21" s="741"/>
      <c r="F21" s="741"/>
      <c r="G21" s="741"/>
      <c r="H21" s="173"/>
      <c r="I21" s="173"/>
      <c r="J21" s="173"/>
      <c r="K21" s="168"/>
      <c r="L21" s="742"/>
      <c r="M21" s="742"/>
      <c r="N21" s="168"/>
      <c r="O21" s="742"/>
      <c r="P21" s="742"/>
      <c r="Q21" s="168"/>
      <c r="R21" s="742"/>
      <c r="S21" s="742"/>
      <c r="T21" s="168"/>
      <c r="U21" s="742"/>
      <c r="V21" s="742"/>
      <c r="W21" s="361"/>
    </row>
    <row r="22" spans="1:24">
      <c r="A22" s="221"/>
      <c r="B22" s="221"/>
      <c r="C22" s="221"/>
      <c r="D22" s="221"/>
      <c r="E22" s="221"/>
      <c r="F22" s="221"/>
      <c r="G22" s="221"/>
      <c r="H22" s="221"/>
      <c r="I22" s="221"/>
      <c r="J22" s="221"/>
    </row>
    <row r="25" spans="1:24">
      <c r="K25" s="221" t="s">
        <v>87</v>
      </c>
    </row>
    <row r="58" spans="1:10">
      <c r="A58" s="83" t="s">
        <v>78</v>
      </c>
      <c r="B58" s="84"/>
      <c r="C58" s="1"/>
      <c r="D58" s="1"/>
      <c r="E58" s="1"/>
      <c r="F58" s="1"/>
      <c r="G58" s="1"/>
      <c r="H58" s="1"/>
      <c r="I58" s="1"/>
      <c r="J58" s="1"/>
    </row>
    <row r="59" spans="1:10">
      <c r="A59" s="83" t="s">
        <v>79</v>
      </c>
      <c r="B59" s="84"/>
      <c r="C59" s="1"/>
      <c r="D59" s="1"/>
      <c r="E59" s="1"/>
      <c r="F59" s="1"/>
      <c r="G59" s="1"/>
      <c r="H59" s="1"/>
      <c r="I59" s="1"/>
      <c r="J59" s="1"/>
    </row>
    <row r="60" spans="1:10">
      <c r="A60" s="83" t="s">
        <v>88</v>
      </c>
      <c r="B60" s="84"/>
      <c r="C60" s="1"/>
      <c r="D60" s="1"/>
      <c r="E60" s="1"/>
      <c r="F60" s="1"/>
      <c r="G60" s="1"/>
      <c r="H60" s="1"/>
      <c r="I60" s="1"/>
      <c r="J60" s="1"/>
    </row>
    <row r="61" spans="1:10">
      <c r="A61" s="83"/>
      <c r="B61" s="84"/>
      <c r="C61" s="1"/>
      <c r="D61" s="1"/>
      <c r="E61" s="1"/>
      <c r="F61" s="1"/>
      <c r="G61" s="1"/>
      <c r="H61" s="1"/>
      <c r="I61" s="1"/>
      <c r="J61" s="1"/>
    </row>
    <row r="62" spans="1:10">
      <c r="A62" s="83" t="str">
        <f>+A5</f>
        <v>2005  - 2014</v>
      </c>
      <c r="B62" s="84"/>
      <c r="C62" s="1"/>
      <c r="D62" s="1"/>
      <c r="E62" s="1"/>
      <c r="F62" s="1"/>
      <c r="G62" s="1"/>
      <c r="H62" s="1"/>
      <c r="I62" s="1"/>
      <c r="J62" s="1"/>
    </row>
    <row r="63" spans="1:10">
      <c r="A63" s="117"/>
      <c r="B63" s="1"/>
      <c r="C63" s="1"/>
      <c r="D63" s="1"/>
      <c r="E63" s="1"/>
      <c r="F63" s="1"/>
      <c r="G63" s="1"/>
      <c r="H63" s="1"/>
      <c r="I63" s="1"/>
      <c r="J63" s="1"/>
    </row>
    <row r="64" spans="1:10">
      <c r="A64" s="117"/>
      <c r="B64" s="1"/>
      <c r="C64" s="1"/>
      <c r="D64" s="1"/>
      <c r="E64" s="1"/>
      <c r="F64" s="1"/>
      <c r="G64" s="1"/>
      <c r="H64" s="1"/>
      <c r="I64" s="1"/>
      <c r="J64" s="1"/>
    </row>
    <row r="65" spans="1:10">
      <c r="A65" s="117"/>
      <c r="B65" s="1"/>
      <c r="C65" s="1"/>
      <c r="D65" s="1"/>
      <c r="E65" s="1"/>
      <c r="F65" s="1"/>
      <c r="G65" s="1"/>
      <c r="H65" s="1"/>
      <c r="I65" s="1"/>
      <c r="J65" s="1"/>
    </row>
    <row r="66" spans="1:10">
      <c r="A66" s="117"/>
      <c r="B66" s="1"/>
      <c r="C66" s="1"/>
      <c r="D66" s="1"/>
      <c r="E66" s="1"/>
      <c r="F66" s="1"/>
      <c r="G66" s="1"/>
      <c r="H66" s="1"/>
      <c r="I66" s="1"/>
      <c r="J66" s="1"/>
    </row>
  </sheetData>
  <phoneticPr fontId="19" type="noConversion"/>
  <pageMargins left="0.98425196850393704" right="0.39370078740157483" top="0.98425196850393704" bottom="1.3779527559055118" header="0.51181102362204722" footer="0.51181102362204722"/>
  <pageSetup paperSize="5" scale="96" orientation="portrait" horizontalDpi="300" verticalDpi="300" r:id="rId1"/>
  <headerFooter alignWithMargins="0">
    <oddHeader xml:space="preserve">&amp;R
</oddHeader>
  </headerFooter>
  <rowBreaks count="1" manualBreakCount="1">
    <brk id="57" max="16383" man="1"/>
  </rowBreaks>
  <colBreaks count="1" manualBreakCount="1">
    <brk id="10" max="99" man="1"/>
  </colBreaks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68"/>
  <sheetViews>
    <sheetView topLeftCell="A61" zoomScale="75" workbookViewId="0">
      <selection activeCell="C49" sqref="C49"/>
    </sheetView>
  </sheetViews>
  <sheetFormatPr baseColWidth="10" defaultRowHeight="12.75"/>
  <cols>
    <col min="1" max="1" width="31.85546875" customWidth="1"/>
    <col min="2" max="3" width="8.42578125" customWidth="1"/>
    <col min="4" max="4" width="7.85546875" customWidth="1"/>
    <col min="5" max="5" width="7.28515625" customWidth="1"/>
    <col min="6" max="6" width="7.7109375" customWidth="1"/>
    <col min="7" max="7" width="7" customWidth="1"/>
    <col min="8" max="9" width="7.42578125" customWidth="1"/>
    <col min="10" max="10" width="8.42578125" customWidth="1"/>
    <col min="11" max="11" width="8.140625" customWidth="1"/>
    <col min="12" max="12" width="6.85546875" customWidth="1"/>
    <col min="13" max="13" width="7.85546875" customWidth="1"/>
    <col min="14" max="14" width="8.28515625" customWidth="1"/>
    <col min="15" max="15" width="8.7109375" customWidth="1"/>
  </cols>
  <sheetData>
    <row r="1" spans="1:15">
      <c r="A1" s="3" t="s">
        <v>1456</v>
      </c>
      <c r="B1" s="117"/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</row>
    <row r="2" spans="1:15">
      <c r="A2" s="83"/>
      <c r="B2" s="117"/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</row>
    <row r="3" spans="1:15">
      <c r="A3" s="83" t="s">
        <v>1005</v>
      </c>
      <c r="B3" s="117"/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</row>
    <row r="6" spans="1:15" ht="18.75" customHeight="1">
      <c r="A6" s="65"/>
      <c r="B6" s="296" t="s">
        <v>25</v>
      </c>
      <c r="C6" s="296"/>
      <c r="D6" s="296"/>
      <c r="E6" s="296"/>
      <c r="F6" s="296"/>
      <c r="G6" s="296"/>
      <c r="H6" s="296"/>
      <c r="I6" s="296"/>
      <c r="J6" s="296"/>
      <c r="K6" s="296"/>
      <c r="L6" s="296"/>
      <c r="M6" s="296"/>
      <c r="N6" s="296"/>
      <c r="O6" s="281"/>
    </row>
    <row r="7" spans="1:15" ht="23.25" customHeight="1">
      <c r="A7" s="303" t="s">
        <v>89</v>
      </c>
      <c r="B7" s="287" t="s">
        <v>47</v>
      </c>
      <c r="C7" s="289"/>
      <c r="D7" s="287" t="s">
        <v>964</v>
      </c>
      <c r="E7" s="288"/>
      <c r="F7" s="289" t="s">
        <v>965</v>
      </c>
      <c r="G7" s="289"/>
      <c r="H7" s="287" t="s">
        <v>90</v>
      </c>
      <c r="I7" s="288"/>
      <c r="J7" s="289" t="s">
        <v>53</v>
      </c>
      <c r="K7" s="289"/>
      <c r="L7" s="287" t="s">
        <v>91</v>
      </c>
      <c r="M7" s="289"/>
      <c r="N7" s="287" t="s">
        <v>706</v>
      </c>
      <c r="O7" s="288"/>
    </row>
    <row r="8" spans="1:15" ht="17.25" customHeight="1">
      <c r="A8" s="688"/>
      <c r="B8" s="204">
        <v>2013</v>
      </c>
      <c r="C8" s="253">
        <v>2014</v>
      </c>
      <c r="D8" s="204">
        <f>+B8</f>
        <v>2013</v>
      </c>
      <c r="E8" s="253">
        <f>+C8</f>
        <v>2014</v>
      </c>
      <c r="F8" s="204">
        <f t="shared" ref="F8:O8" si="0">+D8</f>
        <v>2013</v>
      </c>
      <c r="G8" s="253">
        <f t="shared" si="0"/>
        <v>2014</v>
      </c>
      <c r="H8" s="204">
        <f t="shared" si="0"/>
        <v>2013</v>
      </c>
      <c r="I8" s="253">
        <f t="shared" si="0"/>
        <v>2014</v>
      </c>
      <c r="J8" s="204">
        <f t="shared" si="0"/>
        <v>2013</v>
      </c>
      <c r="K8" s="253">
        <f t="shared" si="0"/>
        <v>2014</v>
      </c>
      <c r="L8" s="204">
        <f t="shared" si="0"/>
        <v>2013</v>
      </c>
      <c r="M8" s="253">
        <f t="shared" si="0"/>
        <v>2014</v>
      </c>
      <c r="N8" s="257">
        <f t="shared" si="0"/>
        <v>2013</v>
      </c>
      <c r="O8" s="259">
        <f t="shared" si="0"/>
        <v>2014</v>
      </c>
    </row>
    <row r="9" spans="1:15" ht="15" customHeight="1">
      <c r="A9" s="685" t="s">
        <v>1080</v>
      </c>
      <c r="B9" s="564">
        <v>237</v>
      </c>
      <c r="C9" s="565">
        <v>244</v>
      </c>
      <c r="D9" s="564">
        <v>52</v>
      </c>
      <c r="E9" s="565">
        <v>28</v>
      </c>
      <c r="F9" s="564"/>
      <c r="G9" s="565"/>
      <c r="H9" s="564"/>
      <c r="I9" s="565"/>
      <c r="J9" s="564"/>
      <c r="K9" s="565"/>
      <c r="L9" s="564"/>
      <c r="M9" s="565"/>
      <c r="N9" s="743">
        <f t="shared" ref="N9:N25" si="1">+L9+J9+H9+F9+D9+B9</f>
        <v>289</v>
      </c>
      <c r="O9" s="744">
        <f>+M9+K9+I9+G9+E9+C9</f>
        <v>272</v>
      </c>
    </row>
    <row r="10" spans="1:15" ht="15" customHeight="1">
      <c r="A10" s="303" t="s">
        <v>92</v>
      </c>
      <c r="B10" s="556">
        <v>1476</v>
      </c>
      <c r="C10" s="541">
        <v>1622</v>
      </c>
      <c r="D10" s="556">
        <v>5</v>
      </c>
      <c r="E10" s="541">
        <v>7</v>
      </c>
      <c r="F10" s="556"/>
      <c r="G10" s="541"/>
      <c r="H10" s="556">
        <v>51</v>
      </c>
      <c r="I10" s="541">
        <v>44</v>
      </c>
      <c r="J10" s="556"/>
      <c r="K10" s="541"/>
      <c r="L10" s="556"/>
      <c r="M10" s="541"/>
      <c r="N10" s="743">
        <f t="shared" si="1"/>
        <v>1532</v>
      </c>
      <c r="O10" s="744">
        <f>+M10+K10+I10+G10+E10+C10</f>
        <v>1673</v>
      </c>
    </row>
    <row r="11" spans="1:15" ht="15" customHeight="1">
      <c r="A11" s="303" t="s">
        <v>93</v>
      </c>
      <c r="B11" s="556">
        <v>700</v>
      </c>
      <c r="C11" s="541">
        <v>688</v>
      </c>
      <c r="D11" s="556">
        <v>14</v>
      </c>
      <c r="E11" s="541">
        <v>10</v>
      </c>
      <c r="F11" s="556"/>
      <c r="G11" s="541"/>
      <c r="H11" s="556">
        <v>1</v>
      </c>
      <c r="I11" s="541"/>
      <c r="J11" s="556"/>
      <c r="K11" s="541"/>
      <c r="L11" s="556"/>
      <c r="M11" s="541"/>
      <c r="N11" s="743">
        <f t="shared" si="1"/>
        <v>715</v>
      </c>
      <c r="O11" s="744">
        <f t="shared" ref="O11:O25" si="2">+M11+K11+I11+G11+E11+C11</f>
        <v>698</v>
      </c>
    </row>
    <row r="12" spans="1:15" ht="15" customHeight="1">
      <c r="A12" s="303" t="s">
        <v>94</v>
      </c>
      <c r="B12" s="556">
        <v>88</v>
      </c>
      <c r="C12" s="541">
        <v>66</v>
      </c>
      <c r="D12" s="556">
        <v>103</v>
      </c>
      <c r="E12" s="541">
        <v>56</v>
      </c>
      <c r="F12" s="556"/>
      <c r="G12" s="541"/>
      <c r="H12" s="556"/>
      <c r="I12" s="541"/>
      <c r="J12" s="556"/>
      <c r="K12" s="541"/>
      <c r="L12" s="556"/>
      <c r="M12" s="541"/>
      <c r="N12" s="743">
        <f t="shared" si="1"/>
        <v>191</v>
      </c>
      <c r="O12" s="744">
        <f t="shared" si="2"/>
        <v>122</v>
      </c>
    </row>
    <row r="13" spans="1:15" ht="15" customHeight="1">
      <c r="A13" s="303" t="s">
        <v>95</v>
      </c>
      <c r="B13" s="556">
        <v>508</v>
      </c>
      <c r="C13" s="541">
        <v>418</v>
      </c>
      <c r="D13" s="556">
        <v>601</v>
      </c>
      <c r="E13" s="541">
        <v>554</v>
      </c>
      <c r="F13" s="556">
        <v>101</v>
      </c>
      <c r="G13" s="541">
        <v>8</v>
      </c>
      <c r="H13" s="556">
        <v>152</v>
      </c>
      <c r="I13" s="541">
        <v>78</v>
      </c>
      <c r="J13" s="556"/>
      <c r="K13" s="541"/>
      <c r="L13" s="556"/>
      <c r="M13" s="541"/>
      <c r="N13" s="743">
        <f t="shared" si="1"/>
        <v>1362</v>
      </c>
      <c r="O13" s="744">
        <f t="shared" si="2"/>
        <v>1058</v>
      </c>
    </row>
    <row r="14" spans="1:15" ht="15" customHeight="1">
      <c r="A14" s="303" t="s">
        <v>96</v>
      </c>
      <c r="B14" s="556">
        <v>1548</v>
      </c>
      <c r="C14" s="541">
        <v>1492</v>
      </c>
      <c r="D14" s="556">
        <v>2190</v>
      </c>
      <c r="E14" s="541">
        <v>2211</v>
      </c>
      <c r="F14" s="556"/>
      <c r="G14" s="541"/>
      <c r="H14" s="556">
        <v>265</v>
      </c>
      <c r="I14" s="541">
        <v>217</v>
      </c>
      <c r="J14" s="556"/>
      <c r="K14" s="541"/>
      <c r="L14" s="556">
        <v>415</v>
      </c>
      <c r="M14" s="541">
        <f>135+256+3</f>
        <v>394</v>
      </c>
      <c r="N14" s="743">
        <f>+L14+J14+H14+F14+D14+B14</f>
        <v>4418</v>
      </c>
      <c r="O14" s="744">
        <f t="shared" si="2"/>
        <v>4314</v>
      </c>
    </row>
    <row r="15" spans="1:15" ht="15" customHeight="1">
      <c r="A15" s="303" t="s">
        <v>97</v>
      </c>
      <c r="B15" s="556">
        <v>167</v>
      </c>
      <c r="C15" s="541">
        <v>178</v>
      </c>
      <c r="D15" s="556">
        <v>112</v>
      </c>
      <c r="E15" s="541">
        <v>89</v>
      </c>
      <c r="F15" s="556"/>
      <c r="G15" s="541"/>
      <c r="H15" s="556"/>
      <c r="I15" s="541"/>
      <c r="J15" s="556"/>
      <c r="K15" s="541"/>
      <c r="L15" s="556"/>
      <c r="M15" s="541"/>
      <c r="N15" s="743">
        <f t="shared" si="1"/>
        <v>279</v>
      </c>
      <c r="O15" s="744">
        <f t="shared" si="2"/>
        <v>267</v>
      </c>
    </row>
    <row r="16" spans="1:15" ht="15" customHeight="1">
      <c r="A16" s="303" t="s">
        <v>98</v>
      </c>
      <c r="B16" s="556">
        <v>37</v>
      </c>
      <c r="C16" s="541">
        <v>48</v>
      </c>
      <c r="D16" s="556">
        <v>31</v>
      </c>
      <c r="E16" s="541">
        <v>23</v>
      </c>
      <c r="F16" s="556"/>
      <c r="G16" s="541"/>
      <c r="H16" s="556"/>
      <c r="I16" s="541"/>
      <c r="J16" s="556"/>
      <c r="K16" s="541"/>
      <c r="L16" s="556"/>
      <c r="M16" s="541"/>
      <c r="N16" s="743">
        <f t="shared" si="1"/>
        <v>68</v>
      </c>
      <c r="O16" s="744">
        <f t="shared" si="2"/>
        <v>71</v>
      </c>
    </row>
    <row r="17" spans="1:17" ht="15" customHeight="1">
      <c r="A17" s="303" t="s">
        <v>99</v>
      </c>
      <c r="B17" s="556">
        <v>1579</v>
      </c>
      <c r="C17" s="541">
        <v>1771</v>
      </c>
      <c r="D17" s="556">
        <v>1067</v>
      </c>
      <c r="E17" s="541">
        <v>1139</v>
      </c>
      <c r="F17" s="556"/>
      <c r="G17" s="541"/>
      <c r="H17" s="556"/>
      <c r="I17" s="541"/>
      <c r="J17" s="556"/>
      <c r="K17" s="541"/>
      <c r="L17" s="556"/>
      <c r="M17" s="541"/>
      <c r="N17" s="743">
        <f t="shared" si="1"/>
        <v>2646</v>
      </c>
      <c r="O17" s="744">
        <f t="shared" si="2"/>
        <v>2910</v>
      </c>
      <c r="Q17" s="313"/>
    </row>
    <row r="18" spans="1:17" ht="15" customHeight="1">
      <c r="A18" s="303" t="s">
        <v>100</v>
      </c>
      <c r="B18" s="556">
        <v>101</v>
      </c>
      <c r="C18" s="541">
        <v>121</v>
      </c>
      <c r="D18" s="556">
        <v>120</v>
      </c>
      <c r="E18" s="541">
        <v>110</v>
      </c>
      <c r="F18" s="556"/>
      <c r="G18" s="541"/>
      <c r="H18" s="556"/>
      <c r="I18" s="541"/>
      <c r="J18" s="556"/>
      <c r="K18" s="541"/>
      <c r="L18" s="556"/>
      <c r="M18" s="541"/>
      <c r="N18" s="743">
        <f t="shared" si="1"/>
        <v>221</v>
      </c>
      <c r="O18" s="744">
        <f t="shared" si="2"/>
        <v>231</v>
      </c>
    </row>
    <row r="19" spans="1:17" ht="15" customHeight="1">
      <c r="A19" s="303" t="s">
        <v>101</v>
      </c>
      <c r="B19" s="556">
        <v>159</v>
      </c>
      <c r="C19" s="541">
        <v>235</v>
      </c>
      <c r="D19" s="556">
        <v>705</v>
      </c>
      <c r="E19" s="541">
        <v>668</v>
      </c>
      <c r="F19" s="556"/>
      <c r="G19" s="541"/>
      <c r="H19" s="556"/>
      <c r="I19" s="541"/>
      <c r="J19" s="556"/>
      <c r="K19" s="541"/>
      <c r="L19" s="556"/>
      <c r="M19" s="541"/>
      <c r="N19" s="743">
        <f t="shared" si="1"/>
        <v>864</v>
      </c>
      <c r="O19" s="744">
        <f t="shared" si="2"/>
        <v>903</v>
      </c>
    </row>
    <row r="20" spans="1:17" ht="15" customHeight="1">
      <c r="A20" s="303" t="s">
        <v>102</v>
      </c>
      <c r="B20" s="556">
        <v>87</v>
      </c>
      <c r="C20" s="541">
        <v>101</v>
      </c>
      <c r="D20" s="556">
        <v>57</v>
      </c>
      <c r="E20" s="541">
        <v>68</v>
      </c>
      <c r="F20" s="556"/>
      <c r="G20" s="541"/>
      <c r="H20" s="556"/>
      <c r="I20" s="541"/>
      <c r="J20" s="556"/>
      <c r="K20" s="541"/>
      <c r="L20" s="556"/>
      <c r="M20" s="541"/>
      <c r="N20" s="743">
        <f t="shared" si="1"/>
        <v>144</v>
      </c>
      <c r="O20" s="744">
        <f t="shared" si="2"/>
        <v>169</v>
      </c>
    </row>
    <row r="21" spans="1:17" ht="15" customHeight="1">
      <c r="A21" s="303" t="s">
        <v>103</v>
      </c>
      <c r="B21" s="556">
        <v>404</v>
      </c>
      <c r="C21" s="541">
        <v>441</v>
      </c>
      <c r="D21" s="556">
        <v>449</v>
      </c>
      <c r="E21" s="541">
        <v>440</v>
      </c>
      <c r="F21" s="556"/>
      <c r="G21" s="541"/>
      <c r="H21" s="556"/>
      <c r="I21" s="541"/>
      <c r="J21" s="556"/>
      <c r="K21" s="541"/>
      <c r="L21" s="556"/>
      <c r="M21" s="541"/>
      <c r="N21" s="743">
        <f>+L21+J21+H21+F21+D21+B21</f>
        <v>853</v>
      </c>
      <c r="O21" s="744">
        <f t="shared" si="2"/>
        <v>881</v>
      </c>
    </row>
    <row r="22" spans="1:17" ht="15" customHeight="1">
      <c r="A22" s="303" t="s">
        <v>104</v>
      </c>
      <c r="B22" s="556">
        <v>1475</v>
      </c>
      <c r="C22" s="541">
        <v>1533</v>
      </c>
      <c r="D22" s="556">
        <v>1031</v>
      </c>
      <c r="E22" s="541">
        <v>1070</v>
      </c>
      <c r="F22" s="556"/>
      <c r="G22" s="541"/>
      <c r="H22" s="556"/>
      <c r="I22" s="541"/>
      <c r="J22" s="556"/>
      <c r="K22" s="541"/>
      <c r="L22" s="556"/>
      <c r="M22" s="541"/>
      <c r="N22" s="743">
        <f t="shared" si="1"/>
        <v>2506</v>
      </c>
      <c r="O22" s="744">
        <f t="shared" si="2"/>
        <v>2603</v>
      </c>
    </row>
    <row r="23" spans="1:17" ht="15" customHeight="1">
      <c r="A23" s="303" t="s">
        <v>105</v>
      </c>
      <c r="B23" s="556">
        <v>109</v>
      </c>
      <c r="C23" s="541">
        <v>107</v>
      </c>
      <c r="D23" s="556">
        <v>1367</v>
      </c>
      <c r="E23" s="541">
        <v>1405</v>
      </c>
      <c r="F23" s="556"/>
      <c r="G23" s="541"/>
      <c r="H23" s="556">
        <v>20</v>
      </c>
      <c r="I23" s="541">
        <v>9</v>
      </c>
      <c r="J23" s="556"/>
      <c r="K23" s="541"/>
      <c r="L23" s="556"/>
      <c r="M23" s="541"/>
      <c r="N23" s="743">
        <f t="shared" si="1"/>
        <v>1496</v>
      </c>
      <c r="O23" s="744">
        <f t="shared" si="2"/>
        <v>1521</v>
      </c>
    </row>
    <row r="24" spans="1:17" ht="15" customHeight="1">
      <c r="A24" s="303" t="s">
        <v>106</v>
      </c>
      <c r="B24" s="556">
        <v>2476</v>
      </c>
      <c r="C24" s="541">
        <v>2572</v>
      </c>
      <c r="D24" s="556">
        <v>618</v>
      </c>
      <c r="E24" s="541">
        <v>1455</v>
      </c>
      <c r="F24" s="556"/>
      <c r="G24" s="541"/>
      <c r="H24" s="556"/>
      <c r="I24" s="541"/>
      <c r="J24" s="556"/>
      <c r="K24" s="541">
        <v>31</v>
      </c>
      <c r="L24" s="556"/>
      <c r="M24" s="541"/>
      <c r="N24" s="743">
        <f>+L24+J24+H24+F24+D24+B24</f>
        <v>3094</v>
      </c>
      <c r="O24" s="744">
        <f>+M24+K24+I24+G24+E24+C24</f>
        <v>4058</v>
      </c>
    </row>
    <row r="25" spans="1:17" ht="15" customHeight="1">
      <c r="A25" s="303" t="s">
        <v>107</v>
      </c>
      <c r="B25" s="556"/>
      <c r="C25" s="541"/>
      <c r="D25" s="556">
        <v>147</v>
      </c>
      <c r="E25" s="541">
        <v>151</v>
      </c>
      <c r="F25" s="556"/>
      <c r="G25" s="541"/>
      <c r="H25" s="556"/>
      <c r="I25" s="541"/>
      <c r="J25" s="556"/>
      <c r="K25" s="541"/>
      <c r="L25" s="556"/>
      <c r="M25" s="541"/>
      <c r="N25" s="743">
        <f t="shared" si="1"/>
        <v>147</v>
      </c>
      <c r="O25" s="744">
        <f t="shared" si="2"/>
        <v>151</v>
      </c>
    </row>
    <row r="26" spans="1:17" ht="27.75" customHeight="1">
      <c r="A26" s="303" t="s">
        <v>108</v>
      </c>
      <c r="B26" s="96">
        <v>11151</v>
      </c>
      <c r="C26" s="744">
        <f>SUM(C9:C25)</f>
        <v>11637</v>
      </c>
      <c r="D26" s="96">
        <v>8669</v>
      </c>
      <c r="E26" s="744">
        <f>SUM(E9:E25)</f>
        <v>9484</v>
      </c>
      <c r="F26" s="96">
        <v>101</v>
      </c>
      <c r="G26" s="744">
        <f t="shared" ref="G26:O26" si="3">SUM(G9:G25)</f>
        <v>8</v>
      </c>
      <c r="H26" s="96">
        <v>489</v>
      </c>
      <c r="I26" s="744">
        <f t="shared" si="3"/>
        <v>348</v>
      </c>
      <c r="J26" s="96">
        <v>0</v>
      </c>
      <c r="K26" s="744">
        <f t="shared" si="3"/>
        <v>31</v>
      </c>
      <c r="L26" s="96">
        <v>415</v>
      </c>
      <c r="M26" s="744">
        <f t="shared" si="3"/>
        <v>394</v>
      </c>
      <c r="N26" s="745">
        <f t="shared" si="3"/>
        <v>20825</v>
      </c>
      <c r="O26" s="310">
        <f t="shared" si="3"/>
        <v>21902</v>
      </c>
    </row>
    <row r="27" spans="1:17" ht="18" customHeight="1">
      <c r="A27" s="685" t="s">
        <v>109</v>
      </c>
      <c r="B27" s="746"/>
      <c r="C27" s="747"/>
      <c r="D27" s="746"/>
      <c r="E27" s="747"/>
      <c r="F27" s="746"/>
      <c r="G27" s="747"/>
      <c r="H27" s="746"/>
      <c r="I27" s="746"/>
      <c r="J27" s="748"/>
      <c r="K27" s="747"/>
      <c r="L27" s="746"/>
      <c r="M27" s="747"/>
      <c r="N27" s="748">
        <f t="shared" ref="N27:O32" si="4">+L27+J27+H27+F27+D27+B27</f>
        <v>0</v>
      </c>
      <c r="O27" s="747">
        <f t="shared" si="4"/>
        <v>0</v>
      </c>
    </row>
    <row r="28" spans="1:17" ht="17.25" customHeight="1">
      <c r="A28" s="303" t="s">
        <v>110</v>
      </c>
      <c r="B28" s="556">
        <v>588</v>
      </c>
      <c r="C28" s="541">
        <v>547</v>
      </c>
      <c r="D28" s="556">
        <v>549</v>
      </c>
      <c r="E28" s="541">
        <v>551</v>
      </c>
      <c r="F28" s="556"/>
      <c r="G28" s="541"/>
      <c r="H28" s="556"/>
      <c r="I28" s="556"/>
      <c r="J28" s="557"/>
      <c r="K28" s="541"/>
      <c r="L28" s="556"/>
      <c r="M28" s="541"/>
      <c r="N28" s="743">
        <f t="shared" si="4"/>
        <v>1137</v>
      </c>
      <c r="O28" s="744">
        <f t="shared" si="4"/>
        <v>1098</v>
      </c>
    </row>
    <row r="29" spans="1:17" ht="18" customHeight="1">
      <c r="A29" s="303" t="s">
        <v>111</v>
      </c>
      <c r="B29" s="556">
        <v>5923</v>
      </c>
      <c r="C29" s="541">
        <v>6209</v>
      </c>
      <c r="D29" s="556">
        <v>8534</v>
      </c>
      <c r="E29" s="541">
        <v>9483</v>
      </c>
      <c r="F29" s="556">
        <v>1731</v>
      </c>
      <c r="G29" s="541">
        <v>1212</v>
      </c>
      <c r="H29" s="556">
        <v>1726</v>
      </c>
      <c r="I29" s="556">
        <v>1330</v>
      </c>
      <c r="J29" s="557">
        <v>0</v>
      </c>
      <c r="K29" s="541"/>
      <c r="L29" s="556">
        <v>13978</v>
      </c>
      <c r="M29" s="541">
        <f>5403+4710+3351</f>
        <v>13464</v>
      </c>
      <c r="N29" s="743">
        <f t="shared" si="4"/>
        <v>31892</v>
      </c>
      <c r="O29" s="744">
        <f t="shared" si="4"/>
        <v>31698</v>
      </c>
      <c r="P29" s="749"/>
    </row>
    <row r="30" spans="1:17" ht="18" customHeight="1">
      <c r="A30" s="750" t="s">
        <v>112</v>
      </c>
      <c r="B30" s="556"/>
      <c r="C30" s="541"/>
      <c r="D30" s="556"/>
      <c r="E30" s="541"/>
      <c r="F30" s="556"/>
      <c r="G30" s="541"/>
      <c r="H30" s="556"/>
      <c r="I30" s="556"/>
      <c r="J30" s="557"/>
      <c r="K30" s="541"/>
      <c r="L30" s="556">
        <v>1391</v>
      </c>
      <c r="M30" s="541">
        <f>447+305+544</f>
        <v>1296</v>
      </c>
      <c r="N30" s="743">
        <f t="shared" si="4"/>
        <v>1391</v>
      </c>
      <c r="O30" s="744">
        <f t="shared" si="4"/>
        <v>1296</v>
      </c>
      <c r="P30" s="749"/>
    </row>
    <row r="31" spans="1:17" ht="18" customHeight="1">
      <c r="A31" s="303" t="s">
        <v>113</v>
      </c>
      <c r="B31" s="556">
        <v>2278</v>
      </c>
      <c r="C31" s="541">
        <v>2557</v>
      </c>
      <c r="D31" s="556">
        <v>375</v>
      </c>
      <c r="E31" s="541">
        <v>240</v>
      </c>
      <c r="F31" s="556"/>
      <c r="G31" s="541"/>
      <c r="H31" s="556"/>
      <c r="I31" s="556"/>
      <c r="J31" s="557"/>
      <c r="K31" s="541"/>
      <c r="L31" s="556"/>
      <c r="M31" s="541"/>
      <c r="N31" s="743">
        <f t="shared" si="4"/>
        <v>2653</v>
      </c>
      <c r="O31" s="744">
        <f t="shared" si="4"/>
        <v>2797</v>
      </c>
    </row>
    <row r="32" spans="1:17" ht="16.5" customHeight="1">
      <c r="A32" s="306" t="s">
        <v>114</v>
      </c>
      <c r="B32" s="751">
        <v>210</v>
      </c>
      <c r="C32" s="752">
        <v>322</v>
      </c>
      <c r="D32" s="751">
        <v>570</v>
      </c>
      <c r="E32" s="752">
        <v>593</v>
      </c>
      <c r="F32" s="751">
        <v>49</v>
      </c>
      <c r="G32" s="752">
        <v>30</v>
      </c>
      <c r="H32" s="753"/>
      <c r="I32" s="753"/>
      <c r="J32" s="688"/>
      <c r="K32" s="258"/>
      <c r="L32" s="751"/>
      <c r="M32" s="752"/>
      <c r="N32" s="745">
        <f t="shared" si="4"/>
        <v>829</v>
      </c>
      <c r="O32" s="310">
        <f t="shared" si="4"/>
        <v>945</v>
      </c>
    </row>
    <row r="33" spans="1:17">
      <c r="A33" s="311"/>
      <c r="B33" s="11"/>
      <c r="C33" s="11"/>
      <c r="D33" s="11"/>
      <c r="E33" s="11"/>
      <c r="F33" s="11"/>
      <c r="G33" s="11"/>
      <c r="H33" s="11"/>
      <c r="I33" s="11"/>
      <c r="J33" s="11"/>
      <c r="K33" s="11"/>
      <c r="L33" s="11"/>
      <c r="M33" s="11"/>
      <c r="N33" s="11"/>
      <c r="O33" s="11"/>
    </row>
    <row r="34" spans="1:17">
      <c r="A34" s="3" t="s">
        <v>1457</v>
      </c>
      <c r="B34" s="117"/>
      <c r="C34" s="117"/>
      <c r="D34" s="117"/>
      <c r="E34" s="117"/>
      <c r="F34" s="117"/>
      <c r="G34" s="117"/>
      <c r="H34" s="117"/>
      <c r="I34" s="117"/>
      <c r="J34" s="117"/>
      <c r="K34" s="117"/>
      <c r="L34" s="117"/>
      <c r="M34" s="117"/>
      <c r="N34" s="117"/>
      <c r="O34" s="117"/>
    </row>
    <row r="35" spans="1:17">
      <c r="A35" s="83"/>
      <c r="B35" s="117"/>
      <c r="C35" s="117"/>
      <c r="D35" s="117"/>
      <c r="E35" s="117"/>
      <c r="F35" s="117"/>
      <c r="G35" s="117"/>
      <c r="H35" s="117"/>
      <c r="I35" s="117"/>
      <c r="J35" s="117"/>
      <c r="K35" s="117"/>
      <c r="L35" s="117"/>
      <c r="M35" s="117"/>
      <c r="N35" s="117"/>
      <c r="O35" s="117"/>
    </row>
    <row r="36" spans="1:17">
      <c r="A36" s="83" t="s">
        <v>1005</v>
      </c>
      <c r="B36" s="117"/>
      <c r="C36" s="117"/>
      <c r="D36" s="117"/>
      <c r="E36" s="117"/>
      <c r="F36" s="117"/>
      <c r="G36" s="117"/>
      <c r="H36" s="117"/>
      <c r="I36" s="117"/>
      <c r="J36" s="117"/>
      <c r="K36" s="117"/>
      <c r="L36" s="117"/>
      <c r="M36" s="117"/>
      <c r="N36" s="117"/>
      <c r="O36" s="117"/>
    </row>
    <row r="40" spans="1:17" ht="17.25" customHeight="1">
      <c r="A40" s="65"/>
      <c r="B40" s="296" t="s">
        <v>926</v>
      </c>
      <c r="C40" s="296"/>
      <c r="D40" s="296"/>
      <c r="E40" s="296"/>
      <c r="F40" s="296"/>
      <c r="G40" s="296"/>
      <c r="H40" s="296"/>
      <c r="I40" s="296"/>
      <c r="J40" s="296"/>
      <c r="K40" s="296"/>
      <c r="L40" s="296"/>
      <c r="M40" s="296"/>
      <c r="N40" s="296"/>
      <c r="O40" s="281"/>
    </row>
    <row r="41" spans="1:17" ht="15.75" customHeight="1">
      <c r="A41" s="303" t="s">
        <v>89</v>
      </c>
      <c r="B41" s="287" t="s">
        <v>47</v>
      </c>
      <c r="C41" s="289"/>
      <c r="D41" s="287" t="s">
        <v>964</v>
      </c>
      <c r="E41" s="288"/>
      <c r="F41" s="289" t="s">
        <v>965</v>
      </c>
      <c r="G41" s="289"/>
      <c r="H41" s="287" t="s">
        <v>90</v>
      </c>
      <c r="I41" s="288"/>
      <c r="J41" s="289" t="s">
        <v>53</v>
      </c>
      <c r="K41" s="289"/>
      <c r="L41" s="287" t="s">
        <v>773</v>
      </c>
      <c r="M41" s="289"/>
      <c r="N41" s="287" t="s">
        <v>706</v>
      </c>
      <c r="O41" s="288"/>
    </row>
    <row r="42" spans="1:17" ht="15" customHeight="1">
      <c r="A42" s="306"/>
      <c r="B42" s="257">
        <f>+B8</f>
        <v>2013</v>
      </c>
      <c r="C42" s="259">
        <f>+C8</f>
        <v>2014</v>
      </c>
      <c r="D42" s="257">
        <f t="shared" ref="D42:O42" si="5">+D8</f>
        <v>2013</v>
      </c>
      <c r="E42" s="259">
        <f t="shared" si="5"/>
        <v>2014</v>
      </c>
      <c r="F42" s="257">
        <f t="shared" si="5"/>
        <v>2013</v>
      </c>
      <c r="G42" s="259">
        <f t="shared" si="5"/>
        <v>2014</v>
      </c>
      <c r="H42" s="257">
        <f t="shared" si="5"/>
        <v>2013</v>
      </c>
      <c r="I42" s="259">
        <f t="shared" si="5"/>
        <v>2014</v>
      </c>
      <c r="J42" s="257">
        <f t="shared" si="5"/>
        <v>2013</v>
      </c>
      <c r="K42" s="259">
        <f t="shared" si="5"/>
        <v>2014</v>
      </c>
      <c r="L42" s="257">
        <f t="shared" si="5"/>
        <v>2013</v>
      </c>
      <c r="M42" s="259">
        <f t="shared" si="5"/>
        <v>2014</v>
      </c>
      <c r="N42" s="257">
        <f t="shared" si="5"/>
        <v>2013</v>
      </c>
      <c r="O42" s="259">
        <f t="shared" si="5"/>
        <v>2014</v>
      </c>
    </row>
    <row r="43" spans="1:17" ht="20.25" customHeight="1">
      <c r="A43" s="685" t="s">
        <v>115</v>
      </c>
      <c r="B43" s="556">
        <f>SUM(B44:B54)-B48</f>
        <v>487690</v>
      </c>
      <c r="C43" s="541">
        <f t="shared" ref="C43:K43" si="6">SUM(C44:C54)-C48</f>
        <v>498600</v>
      </c>
      <c r="D43" s="564">
        <f>SUM(D44:D54)-D48</f>
        <v>444746</v>
      </c>
      <c r="E43" s="565">
        <f t="shared" si="6"/>
        <v>468195</v>
      </c>
      <c r="F43" s="564">
        <f>SUM(F44:F54)-F48</f>
        <v>111127</v>
      </c>
      <c r="G43" s="565">
        <f t="shared" si="6"/>
        <v>125415</v>
      </c>
      <c r="H43" s="564">
        <f>SUM(H44:H54)-H48</f>
        <v>3659</v>
      </c>
      <c r="I43" s="564">
        <f t="shared" si="6"/>
        <v>3152</v>
      </c>
      <c r="J43" s="563">
        <f t="shared" si="6"/>
        <v>0</v>
      </c>
      <c r="K43" s="565">
        <f t="shared" si="6"/>
        <v>0</v>
      </c>
      <c r="L43" s="564">
        <f>SUM(L44:L54)-L48</f>
        <v>92923</v>
      </c>
      <c r="M43" s="556">
        <f>SUM(M44:M54)-M48</f>
        <v>113168</v>
      </c>
      <c r="N43" s="743">
        <f>+L43+J43+H43+F43+D43+B43</f>
        <v>1140145</v>
      </c>
      <c r="O43" s="744">
        <f>+M43+K43+I43+G43+E43+C43</f>
        <v>1208530</v>
      </c>
    </row>
    <row r="44" spans="1:17" ht="15.75" customHeight="1">
      <c r="A44" s="303" t="s">
        <v>116</v>
      </c>
      <c r="B44" s="556">
        <v>136153</v>
      </c>
      <c r="C44" s="541">
        <v>153556</v>
      </c>
      <c r="D44" s="556">
        <v>118143</v>
      </c>
      <c r="E44" s="541">
        <v>127181</v>
      </c>
      <c r="F44" s="556">
        <v>32567</v>
      </c>
      <c r="G44" s="541">
        <v>39486</v>
      </c>
      <c r="H44" s="556"/>
      <c r="I44" s="556"/>
      <c r="J44" s="557"/>
      <c r="K44" s="541"/>
      <c r="L44" s="556">
        <v>58968</v>
      </c>
      <c r="M44" s="556">
        <v>72240</v>
      </c>
      <c r="N44" s="743">
        <f>+M44+J44+H44+F44+D44+B44</f>
        <v>359103</v>
      </c>
      <c r="O44" s="744">
        <f>+M44+K44+I44+G44+E44+C44</f>
        <v>392463</v>
      </c>
    </row>
    <row r="45" spans="1:17" ht="15.75" customHeight="1">
      <c r="A45" s="303" t="s">
        <v>117</v>
      </c>
      <c r="B45" s="556">
        <v>239829</v>
      </c>
      <c r="C45" s="541">
        <v>242346</v>
      </c>
      <c r="D45" s="556">
        <v>232514</v>
      </c>
      <c r="E45" s="541">
        <v>242586</v>
      </c>
      <c r="F45" s="556">
        <v>54914</v>
      </c>
      <c r="G45" s="541">
        <v>61979</v>
      </c>
      <c r="H45" s="556">
        <v>2961</v>
      </c>
      <c r="I45" s="556">
        <v>2614</v>
      </c>
      <c r="J45" s="557"/>
      <c r="K45" s="541"/>
      <c r="L45" s="556">
        <v>18430</v>
      </c>
      <c r="M45" s="556">
        <v>21851</v>
      </c>
      <c r="N45" s="743">
        <f>+M45+J45+H45+F45+D45+B45+L45</f>
        <v>570499</v>
      </c>
      <c r="O45" s="744">
        <f t="shared" ref="O45:O53" si="7">+M45+K45+I45+G45+E45+C45</f>
        <v>571376</v>
      </c>
    </row>
    <row r="46" spans="1:17" ht="15.75" customHeight="1">
      <c r="A46" s="303" t="s">
        <v>118</v>
      </c>
      <c r="B46" s="556">
        <v>13594</v>
      </c>
      <c r="C46" s="541">
        <v>14510</v>
      </c>
      <c r="D46" s="556">
        <v>11323</v>
      </c>
      <c r="E46" s="541">
        <v>13397</v>
      </c>
      <c r="F46" s="556"/>
      <c r="G46" s="541">
        <v>512</v>
      </c>
      <c r="H46" s="556"/>
      <c r="I46" s="556"/>
      <c r="J46" s="557"/>
      <c r="K46" s="541"/>
      <c r="L46" s="556"/>
      <c r="M46" s="556"/>
      <c r="N46" s="743">
        <f>+L46+J46+H46+F46+D46+B46</f>
        <v>24917</v>
      </c>
      <c r="O46" s="744">
        <f t="shared" si="7"/>
        <v>28419</v>
      </c>
    </row>
    <row r="47" spans="1:17" ht="15.75" customHeight="1">
      <c r="A47" s="303" t="s">
        <v>119</v>
      </c>
      <c r="B47" s="556">
        <v>15507</v>
      </c>
      <c r="C47" s="541">
        <v>15364</v>
      </c>
      <c r="D47" s="556">
        <v>13413</v>
      </c>
      <c r="E47" s="541">
        <v>13175</v>
      </c>
      <c r="F47" s="556">
        <v>337</v>
      </c>
      <c r="G47" s="541">
        <v>532</v>
      </c>
      <c r="H47" s="556"/>
      <c r="I47" s="556"/>
      <c r="J47" s="557"/>
      <c r="K47" s="541"/>
      <c r="L47" s="556"/>
      <c r="M47" s="556"/>
      <c r="N47" s="743">
        <f>+L47+J47+H47+F47+D47+B47</f>
        <v>29257</v>
      </c>
      <c r="O47" s="744">
        <f t="shared" si="7"/>
        <v>29071</v>
      </c>
    </row>
    <row r="48" spans="1:17" ht="15.75" customHeight="1">
      <c r="A48" s="303" t="s">
        <v>120</v>
      </c>
      <c r="B48" s="556">
        <v>48612</v>
      </c>
      <c r="C48" s="556">
        <f t="shared" ref="C48:N48" si="8">SUM(C49:C51)</f>
        <v>43627</v>
      </c>
      <c r="D48" s="557">
        <v>38065</v>
      </c>
      <c r="E48" s="541">
        <f t="shared" si="8"/>
        <v>37822</v>
      </c>
      <c r="F48" s="557">
        <v>12007</v>
      </c>
      <c r="G48" s="541">
        <f t="shared" si="8"/>
        <v>11385</v>
      </c>
      <c r="H48" s="556">
        <v>0</v>
      </c>
      <c r="I48" s="556">
        <f t="shared" si="8"/>
        <v>0</v>
      </c>
      <c r="J48" s="557">
        <f t="shared" si="8"/>
        <v>0</v>
      </c>
      <c r="K48" s="541">
        <f t="shared" si="8"/>
        <v>0</v>
      </c>
      <c r="L48" s="556">
        <v>7197</v>
      </c>
      <c r="M48" s="556">
        <f t="shared" si="8"/>
        <v>8957</v>
      </c>
      <c r="N48" s="743">
        <f t="shared" si="8"/>
        <v>107641</v>
      </c>
      <c r="O48" s="744">
        <f t="shared" si="7"/>
        <v>101791</v>
      </c>
      <c r="P48" s="311"/>
      <c r="Q48" s="311"/>
    </row>
    <row r="49" spans="1:17" ht="15.75" customHeight="1">
      <c r="A49" s="303" t="s">
        <v>121</v>
      </c>
      <c r="B49" s="556">
        <v>34132</v>
      </c>
      <c r="C49" s="541">
        <v>32033</v>
      </c>
      <c r="D49" s="556">
        <v>30488</v>
      </c>
      <c r="E49" s="541">
        <v>30529</v>
      </c>
      <c r="F49" s="556">
        <v>11539</v>
      </c>
      <c r="G49" s="541">
        <v>11114</v>
      </c>
      <c r="H49" s="556"/>
      <c r="I49" s="556"/>
      <c r="J49" s="557"/>
      <c r="K49" s="541"/>
      <c r="L49" s="556">
        <v>6358</v>
      </c>
      <c r="M49" s="556">
        <v>8168</v>
      </c>
      <c r="N49" s="743">
        <f>+M49+J49+H49+F49+D49+B49</f>
        <v>84327</v>
      </c>
      <c r="O49" s="744">
        <f t="shared" si="7"/>
        <v>81844</v>
      </c>
    </row>
    <row r="50" spans="1:17" ht="15.75" customHeight="1">
      <c r="A50" s="303" t="s">
        <v>122</v>
      </c>
      <c r="B50" s="556">
        <v>4067</v>
      </c>
      <c r="C50" s="541">
        <v>2785</v>
      </c>
      <c r="D50" s="556">
        <v>3196</v>
      </c>
      <c r="E50" s="541">
        <v>2674</v>
      </c>
      <c r="F50" s="556">
        <v>468</v>
      </c>
      <c r="G50" s="541">
        <v>271</v>
      </c>
      <c r="H50" s="556"/>
      <c r="I50" s="556"/>
      <c r="J50" s="557"/>
      <c r="K50" s="541"/>
      <c r="L50" s="556">
        <v>839</v>
      </c>
      <c r="M50" s="556">
        <v>789</v>
      </c>
      <c r="N50" s="743">
        <f>+M50+J50+H50+F50+D50+B50</f>
        <v>8520</v>
      </c>
      <c r="O50" s="744">
        <f t="shared" si="7"/>
        <v>6519</v>
      </c>
    </row>
    <row r="51" spans="1:17" ht="15.75" customHeight="1">
      <c r="A51" s="303" t="s">
        <v>123</v>
      </c>
      <c r="B51" s="556">
        <v>10413</v>
      </c>
      <c r="C51" s="541">
        <v>8809</v>
      </c>
      <c r="D51" s="556">
        <v>4381</v>
      </c>
      <c r="E51" s="541">
        <v>4619</v>
      </c>
      <c r="F51" s="556"/>
      <c r="G51" s="541"/>
      <c r="H51" s="556"/>
      <c r="I51" s="556"/>
      <c r="J51" s="557"/>
      <c r="K51" s="541"/>
      <c r="L51" s="556">
        <v>0</v>
      </c>
      <c r="M51" s="556"/>
      <c r="N51" s="743">
        <f>+L51+J51+H51+F51+D51+B51</f>
        <v>14794</v>
      </c>
      <c r="O51" s="744">
        <f t="shared" si="7"/>
        <v>13428</v>
      </c>
    </row>
    <row r="52" spans="1:17" ht="15.75" customHeight="1">
      <c r="A52" s="303" t="s">
        <v>124</v>
      </c>
      <c r="B52" s="556">
        <v>66</v>
      </c>
      <c r="C52" s="541">
        <v>64</v>
      </c>
      <c r="D52" s="556">
        <v>0</v>
      </c>
      <c r="E52" s="541"/>
      <c r="F52" s="556"/>
      <c r="G52" s="541"/>
      <c r="H52" s="556"/>
      <c r="I52" s="556"/>
      <c r="J52" s="557"/>
      <c r="K52" s="541"/>
      <c r="L52" s="556">
        <v>0</v>
      </c>
      <c r="M52" s="556"/>
      <c r="N52" s="743">
        <f>+L52+J52+H52+F52+D52+B52</f>
        <v>66</v>
      </c>
      <c r="O52" s="744">
        <f t="shared" si="7"/>
        <v>64</v>
      </c>
    </row>
    <row r="53" spans="1:17" ht="15.75" customHeight="1">
      <c r="A53" s="303" t="s">
        <v>125</v>
      </c>
      <c r="B53" s="556">
        <v>1050</v>
      </c>
      <c r="C53" s="541">
        <v>936</v>
      </c>
      <c r="D53" s="556">
        <v>828</v>
      </c>
      <c r="E53" s="541">
        <v>751</v>
      </c>
      <c r="F53" s="556">
        <v>134</v>
      </c>
      <c r="G53" s="541">
        <v>94</v>
      </c>
      <c r="H53" s="556"/>
      <c r="I53" s="556"/>
      <c r="J53" s="557"/>
      <c r="K53" s="541"/>
      <c r="L53" s="556">
        <v>0</v>
      </c>
      <c r="M53" s="556"/>
      <c r="N53" s="743">
        <f>+L53+J53+H53+F53+D53+B53</f>
        <v>2012</v>
      </c>
      <c r="O53" s="744">
        <f t="shared" si="7"/>
        <v>1781</v>
      </c>
    </row>
    <row r="54" spans="1:17" ht="15.75" customHeight="1">
      <c r="A54" s="303" t="s">
        <v>126</v>
      </c>
      <c r="B54" s="556">
        <v>32879</v>
      </c>
      <c r="C54" s="541">
        <v>28197</v>
      </c>
      <c r="D54" s="556">
        <v>30460</v>
      </c>
      <c r="E54" s="541">
        <v>33283</v>
      </c>
      <c r="F54" s="556">
        <v>11168</v>
      </c>
      <c r="G54" s="541">
        <v>11427</v>
      </c>
      <c r="H54" s="556">
        <v>698</v>
      </c>
      <c r="I54" s="556">
        <v>538</v>
      </c>
      <c r="J54" s="557"/>
      <c r="K54" s="541"/>
      <c r="L54" s="556">
        <v>8328</v>
      </c>
      <c r="M54" s="556">
        <v>10120</v>
      </c>
      <c r="N54" s="745">
        <f>+M54+J54+H54+F54+D54+B54</f>
        <v>85325</v>
      </c>
      <c r="O54" s="744">
        <f>+M54+K54+I54+G54+E54+C54</f>
        <v>83565</v>
      </c>
    </row>
    <row r="55" spans="1:17" ht="18.75" customHeight="1">
      <c r="A55" s="685" t="s">
        <v>127</v>
      </c>
      <c r="B55" s="563">
        <v>47895</v>
      </c>
      <c r="C55" s="565">
        <f>SUM(C56:C59)+C63</f>
        <v>49140</v>
      </c>
      <c r="D55" s="564">
        <v>51652</v>
      </c>
      <c r="E55" s="565">
        <f t="shared" ref="E55:M55" si="9">SUM(E56:E59)</f>
        <v>51292</v>
      </c>
      <c r="F55" s="564">
        <v>17928</v>
      </c>
      <c r="G55" s="565">
        <f t="shared" si="9"/>
        <v>15957</v>
      </c>
      <c r="H55" s="564">
        <v>5716</v>
      </c>
      <c r="I55" s="565">
        <f t="shared" si="9"/>
        <v>6918</v>
      </c>
      <c r="J55" s="564">
        <f t="shared" si="9"/>
        <v>0</v>
      </c>
      <c r="K55" s="565">
        <f t="shared" si="9"/>
        <v>0</v>
      </c>
      <c r="L55" s="564">
        <v>687</v>
      </c>
      <c r="M55" s="565">
        <f t="shared" si="9"/>
        <v>362</v>
      </c>
      <c r="N55" s="563">
        <f>SUM(N56:N59)+N63</f>
        <v>123878</v>
      </c>
      <c r="O55" s="565">
        <f>SUM(O56:O59)+O63</f>
        <v>123669</v>
      </c>
      <c r="Q55" s="119"/>
    </row>
    <row r="56" spans="1:17" ht="13.5" customHeight="1">
      <c r="A56" s="303" t="s">
        <v>128</v>
      </c>
      <c r="B56" s="557">
        <v>29000</v>
      </c>
      <c r="C56" s="541">
        <v>30083</v>
      </c>
      <c r="D56" s="556">
        <v>37629</v>
      </c>
      <c r="E56" s="541">
        <v>37079</v>
      </c>
      <c r="F56" s="556">
        <v>17430</v>
      </c>
      <c r="G56" s="541">
        <v>15039</v>
      </c>
      <c r="H56" s="556">
        <v>5716</v>
      </c>
      <c r="I56" s="541">
        <v>6918</v>
      </c>
      <c r="J56" s="556"/>
      <c r="K56" s="541"/>
      <c r="L56" s="556"/>
      <c r="M56" s="556"/>
      <c r="N56" s="743">
        <f>+L56+J56+H56+F56+D56+B56</f>
        <v>89775</v>
      </c>
      <c r="O56" s="744">
        <f>+M56+K56+I56+G56+E56+C56</f>
        <v>89119</v>
      </c>
      <c r="Q56" s="119"/>
    </row>
    <row r="57" spans="1:17" ht="13.5" customHeight="1">
      <c r="A57" s="303" t="s">
        <v>129</v>
      </c>
      <c r="B57" s="557">
        <v>63</v>
      </c>
      <c r="C57" s="541">
        <v>33</v>
      </c>
      <c r="D57" s="556">
        <v>55</v>
      </c>
      <c r="E57" s="541">
        <v>58</v>
      </c>
      <c r="F57" s="556"/>
      <c r="G57" s="541"/>
      <c r="H57" s="556"/>
      <c r="I57" s="541"/>
      <c r="J57" s="556"/>
      <c r="K57" s="541"/>
      <c r="L57" s="556"/>
      <c r="M57" s="556"/>
      <c r="N57" s="743">
        <f>+L57+J57+H57+F57+D57+B57</f>
        <v>118</v>
      </c>
      <c r="O57" s="744">
        <f t="shared" ref="O57:O67" si="10">+M57+K57+I57+G57+E57+C57</f>
        <v>91</v>
      </c>
      <c r="Q57" s="119"/>
    </row>
    <row r="58" spans="1:17" ht="13.5" customHeight="1">
      <c r="A58" s="303" t="s">
        <v>130</v>
      </c>
      <c r="B58" s="557">
        <v>5585</v>
      </c>
      <c r="C58" s="541">
        <v>6913</v>
      </c>
      <c r="D58" s="556">
        <v>4065</v>
      </c>
      <c r="E58" s="541">
        <v>4157</v>
      </c>
      <c r="F58" s="556"/>
      <c r="G58" s="541"/>
      <c r="H58" s="556"/>
      <c r="I58" s="541"/>
      <c r="J58" s="556"/>
      <c r="K58" s="541"/>
      <c r="L58" s="556"/>
      <c r="M58" s="556"/>
      <c r="N58" s="743">
        <f>+L58+J58+H58+F58+D58+B58</f>
        <v>9650</v>
      </c>
      <c r="O58" s="744">
        <f t="shared" si="10"/>
        <v>11070</v>
      </c>
      <c r="Q58" s="119"/>
    </row>
    <row r="59" spans="1:17" ht="13.5" customHeight="1">
      <c r="A59" s="303" t="s">
        <v>131</v>
      </c>
      <c r="B59" s="557">
        <v>13247</v>
      </c>
      <c r="C59" s="541">
        <f>SUM(C60:C62)</f>
        <v>12111</v>
      </c>
      <c r="D59" s="556">
        <v>9903</v>
      </c>
      <c r="E59" s="541">
        <f>SUM(E60:E62)</f>
        <v>9998</v>
      </c>
      <c r="F59" s="556">
        <v>498</v>
      </c>
      <c r="G59" s="541">
        <f>SUM(G60:G62)</f>
        <v>918</v>
      </c>
      <c r="H59" s="556"/>
      <c r="I59" s="541"/>
      <c r="J59" s="556"/>
      <c r="K59" s="541"/>
      <c r="L59" s="556">
        <v>687</v>
      </c>
      <c r="M59" s="541">
        <f>SUM(M60:M62)</f>
        <v>362</v>
      </c>
      <c r="N59" s="557">
        <f>SUM(N60:N62)</f>
        <v>24335</v>
      </c>
      <c r="O59" s="744">
        <f t="shared" si="10"/>
        <v>23389</v>
      </c>
      <c r="Q59" s="119"/>
    </row>
    <row r="60" spans="1:17" ht="13.5" customHeight="1">
      <c r="A60" s="303" t="s">
        <v>137</v>
      </c>
      <c r="B60" s="557">
        <v>8649</v>
      </c>
      <c r="C60" s="541">
        <v>6903</v>
      </c>
      <c r="D60" s="556">
        <v>5242</v>
      </c>
      <c r="E60" s="541">
        <v>4786</v>
      </c>
      <c r="F60" s="556">
        <v>277</v>
      </c>
      <c r="G60" s="541"/>
      <c r="H60" s="556"/>
      <c r="I60" s="541"/>
      <c r="J60" s="556"/>
      <c r="K60" s="541"/>
      <c r="L60" s="556">
        <v>368</v>
      </c>
      <c r="M60" s="556">
        <f>34+77</f>
        <v>111</v>
      </c>
      <c r="N60" s="743">
        <f t="shared" ref="N60:N67" si="11">+L60+J60+H60+F60+D60+B60</f>
        <v>14536</v>
      </c>
      <c r="O60" s="744">
        <f t="shared" si="10"/>
        <v>11800</v>
      </c>
      <c r="Q60" s="119"/>
    </row>
    <row r="61" spans="1:17" ht="13.5" customHeight="1">
      <c r="A61" s="303" t="s">
        <v>1287</v>
      </c>
      <c r="B61" s="557">
        <v>3320</v>
      </c>
      <c r="C61" s="541">
        <v>4155</v>
      </c>
      <c r="D61" s="556">
        <v>3482</v>
      </c>
      <c r="E61" s="541">
        <v>4002</v>
      </c>
      <c r="F61" s="556">
        <v>221</v>
      </c>
      <c r="G61" s="541">
        <v>918</v>
      </c>
      <c r="H61" s="556"/>
      <c r="I61" s="541"/>
      <c r="J61" s="556"/>
      <c r="K61" s="541"/>
      <c r="L61" s="556">
        <v>319</v>
      </c>
      <c r="M61" s="556">
        <f>143+108</f>
        <v>251</v>
      </c>
      <c r="N61" s="743">
        <f t="shared" si="11"/>
        <v>7342</v>
      </c>
      <c r="O61" s="744">
        <f t="shared" si="10"/>
        <v>9326</v>
      </c>
      <c r="Q61" s="119"/>
    </row>
    <row r="62" spans="1:17" ht="13.5" customHeight="1">
      <c r="A62" s="303" t="s">
        <v>1288</v>
      </c>
      <c r="B62" s="557">
        <v>1278</v>
      </c>
      <c r="C62" s="541">
        <v>1053</v>
      </c>
      <c r="D62" s="556">
        <v>1179</v>
      </c>
      <c r="E62" s="541">
        <v>1210</v>
      </c>
      <c r="F62" s="556"/>
      <c r="G62" s="541"/>
      <c r="H62" s="556"/>
      <c r="I62" s="541"/>
      <c r="J62" s="556"/>
      <c r="K62" s="541"/>
      <c r="L62" s="556"/>
      <c r="M62" s="541"/>
      <c r="N62" s="96">
        <f t="shared" si="11"/>
        <v>2457</v>
      </c>
      <c r="O62" s="744">
        <f t="shared" si="10"/>
        <v>2263</v>
      </c>
      <c r="Q62" s="119"/>
    </row>
    <row r="63" spans="1:17" ht="13.5" customHeight="1">
      <c r="A63" s="306" t="s">
        <v>1339</v>
      </c>
      <c r="B63" s="561"/>
      <c r="C63" s="560"/>
      <c r="D63" s="559"/>
      <c r="E63" s="560"/>
      <c r="F63" s="559"/>
      <c r="G63" s="560"/>
      <c r="H63" s="559"/>
      <c r="I63" s="559"/>
      <c r="J63" s="561"/>
      <c r="K63" s="560"/>
      <c r="L63" s="559"/>
      <c r="M63" s="559"/>
      <c r="N63" s="745">
        <f t="shared" si="11"/>
        <v>0</v>
      </c>
      <c r="O63" s="310">
        <f t="shared" si="10"/>
        <v>0</v>
      </c>
    </row>
    <row r="64" spans="1:17" ht="23.25" customHeight="1">
      <c r="A64" s="303" t="s">
        <v>138</v>
      </c>
      <c r="B64" s="561">
        <v>13532</v>
      </c>
      <c r="C64" s="560">
        <v>10374</v>
      </c>
      <c r="D64" s="559"/>
      <c r="E64" s="560"/>
      <c r="F64" s="559"/>
      <c r="G64" s="560"/>
      <c r="H64" s="1124"/>
      <c r="I64" s="758"/>
      <c r="J64" s="1125"/>
      <c r="K64" s="757"/>
      <c r="L64" s="758"/>
      <c r="M64" s="758"/>
      <c r="N64" s="743">
        <f t="shared" si="11"/>
        <v>13532</v>
      </c>
      <c r="O64" s="310">
        <f t="shared" si="10"/>
        <v>10374</v>
      </c>
    </row>
    <row r="65" spans="1:15" ht="21.75" customHeight="1">
      <c r="A65" s="727" t="s">
        <v>139</v>
      </c>
      <c r="B65" s="561"/>
      <c r="C65" s="560">
        <v>3</v>
      </c>
      <c r="D65" s="559">
        <v>409</v>
      </c>
      <c r="E65" s="559">
        <v>419</v>
      </c>
      <c r="F65" s="754"/>
      <c r="G65" s="755"/>
      <c r="H65" s="559"/>
      <c r="I65" s="756"/>
      <c r="J65" s="754"/>
      <c r="K65" s="755"/>
      <c r="L65" s="756"/>
      <c r="M65" s="756"/>
      <c r="N65" s="760">
        <f t="shared" si="11"/>
        <v>409</v>
      </c>
      <c r="O65" s="759">
        <f t="shared" si="10"/>
        <v>422</v>
      </c>
    </row>
    <row r="66" spans="1:15">
      <c r="A66" s="761" t="s">
        <v>140</v>
      </c>
      <c r="B66" s="188">
        <v>791</v>
      </c>
      <c r="C66" s="762">
        <v>720</v>
      </c>
      <c r="D66" s="763"/>
      <c r="E66" s="763"/>
      <c r="F66" s="188"/>
      <c r="G66" s="392"/>
      <c r="H66" s="763"/>
      <c r="I66" s="763"/>
      <c r="J66" s="188"/>
      <c r="K66" s="392"/>
      <c r="L66" s="763"/>
      <c r="M66" s="392"/>
      <c r="N66" s="760">
        <f t="shared" si="11"/>
        <v>791</v>
      </c>
      <c r="O66" s="759">
        <f t="shared" si="10"/>
        <v>720</v>
      </c>
    </row>
    <row r="67" spans="1:15">
      <c r="A67" s="764" t="s">
        <v>141</v>
      </c>
      <c r="B67" s="333">
        <v>4804</v>
      </c>
      <c r="C67" s="765">
        <v>5327</v>
      </c>
      <c r="D67" s="766"/>
      <c r="E67" s="766"/>
      <c r="F67" s="333"/>
      <c r="G67" s="334"/>
      <c r="H67" s="766"/>
      <c r="I67" s="766"/>
      <c r="J67" s="333"/>
      <c r="K67" s="334"/>
      <c r="L67" s="766"/>
      <c r="M67" s="766"/>
      <c r="N67" s="760">
        <f t="shared" si="11"/>
        <v>4804</v>
      </c>
      <c r="O67" s="759">
        <f t="shared" si="10"/>
        <v>5327</v>
      </c>
    </row>
    <row r="68" spans="1:15">
      <c r="A68" s="629" t="s">
        <v>774</v>
      </c>
    </row>
  </sheetData>
  <phoneticPr fontId="19" type="noConversion"/>
  <pageMargins left="1.3779527559055118" right="0.78740157480314965" top="0.59055118110236227" bottom="0.78740157480314965" header="0.51181102362204722" footer="0.51181102362204722"/>
  <pageSetup paperSize="5" orientation="landscape" horizontalDpi="300" verticalDpi="300" r:id="rId1"/>
  <headerFooter alignWithMargins="0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4"/>
  <sheetViews>
    <sheetView topLeftCell="J12" workbookViewId="0">
      <selection activeCell="O19" sqref="O19:Z19"/>
    </sheetView>
  </sheetViews>
  <sheetFormatPr baseColWidth="10" defaultRowHeight="12.75"/>
  <cols>
    <col min="1" max="1" width="6" customWidth="1"/>
    <col min="2" max="8" width="7.140625" customWidth="1"/>
    <col min="9" max="9" width="8" customWidth="1"/>
    <col min="10" max="10" width="9.140625" customWidth="1"/>
    <col min="11" max="11" width="6.28515625" customWidth="1"/>
    <col min="12" max="12" width="8.140625" customWidth="1"/>
    <col min="13" max="13" width="7.140625" customWidth="1"/>
    <col min="14" max="14" width="10.42578125" customWidth="1"/>
    <col min="15" max="15" width="8.140625" customWidth="1"/>
    <col min="16" max="17" width="6.42578125" customWidth="1"/>
    <col min="18" max="18" width="8" customWidth="1"/>
    <col min="19" max="20" width="6.42578125" customWidth="1"/>
    <col min="21" max="21" width="7.7109375" customWidth="1"/>
    <col min="22" max="26" width="6.42578125" customWidth="1"/>
  </cols>
  <sheetData>
    <row r="1" spans="1:26">
      <c r="A1" s="149" t="s">
        <v>142</v>
      </c>
      <c r="B1" s="279"/>
      <c r="C1" s="279"/>
      <c r="D1" s="279"/>
      <c r="E1" s="279"/>
      <c r="F1" s="279"/>
      <c r="G1" s="279"/>
      <c r="H1" s="279"/>
      <c r="I1" s="279"/>
      <c r="J1" s="279"/>
      <c r="K1" s="279"/>
      <c r="L1" s="279"/>
      <c r="M1" s="279"/>
    </row>
    <row r="2" spans="1:26">
      <c r="A2" s="149" t="s">
        <v>1005</v>
      </c>
      <c r="B2" s="279"/>
      <c r="C2" s="279"/>
      <c r="D2" s="279"/>
      <c r="E2" s="279"/>
      <c r="F2" s="279"/>
      <c r="G2" s="279"/>
      <c r="H2" s="279"/>
      <c r="I2" s="279"/>
      <c r="J2" s="279"/>
      <c r="K2" s="279"/>
      <c r="L2" s="279"/>
      <c r="M2" s="279"/>
    </row>
    <row r="3" spans="1:26">
      <c r="A3" s="149" t="s">
        <v>1455</v>
      </c>
      <c r="B3" s="279"/>
      <c r="C3" s="279"/>
      <c r="D3" s="279"/>
      <c r="E3" s="279"/>
      <c r="F3" s="279"/>
      <c r="G3" s="279"/>
      <c r="H3" s="279"/>
      <c r="I3" s="279"/>
      <c r="J3" s="279"/>
      <c r="K3" s="279"/>
      <c r="L3" s="279"/>
      <c r="M3" s="279"/>
    </row>
    <row r="4" spans="1:26">
      <c r="A4" s="149" t="s">
        <v>143</v>
      </c>
      <c r="B4" s="279"/>
      <c r="C4" s="279"/>
      <c r="D4" s="279"/>
      <c r="E4" s="279"/>
      <c r="F4" s="279"/>
      <c r="G4" s="279"/>
      <c r="H4" s="279"/>
      <c r="I4" s="279"/>
      <c r="J4" s="279"/>
      <c r="K4" s="279"/>
      <c r="L4" s="279"/>
      <c r="M4" s="279"/>
    </row>
    <row r="5" spans="1:26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</row>
    <row r="7" spans="1:26">
      <c r="O7" s="282" t="s">
        <v>81</v>
      </c>
      <c r="P7" s="282"/>
      <c r="Q7" s="282"/>
      <c r="R7" s="282" t="s">
        <v>82</v>
      </c>
      <c r="S7" s="282"/>
      <c r="T7" s="282"/>
      <c r="U7" s="282" t="s">
        <v>964</v>
      </c>
      <c r="V7" s="282"/>
      <c r="W7" s="282"/>
      <c r="X7" s="282" t="s">
        <v>965</v>
      </c>
      <c r="Y7" s="282"/>
      <c r="Z7" s="282"/>
    </row>
    <row r="8" spans="1:26" ht="18" customHeight="1">
      <c r="A8" s="287" t="s">
        <v>709</v>
      </c>
      <c r="B8" s="287" t="s">
        <v>47</v>
      </c>
      <c r="C8" s="288"/>
      <c r="D8" s="287" t="s">
        <v>964</v>
      </c>
      <c r="E8" s="288"/>
      <c r="F8" s="289" t="s">
        <v>965</v>
      </c>
      <c r="G8" s="289"/>
      <c r="H8" s="287" t="s">
        <v>90</v>
      </c>
      <c r="I8" s="288"/>
      <c r="J8" s="287" t="s">
        <v>144</v>
      </c>
      <c r="K8" s="288"/>
      <c r="L8" s="287" t="s">
        <v>571</v>
      </c>
      <c r="M8" s="288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</row>
    <row r="9" spans="1:26" ht="18" customHeight="1">
      <c r="A9" s="734"/>
      <c r="B9" s="767" t="s">
        <v>145</v>
      </c>
      <c r="C9" s="768" t="s">
        <v>146</v>
      </c>
      <c r="D9" s="767" t="s">
        <v>145</v>
      </c>
      <c r="E9" s="768" t="s">
        <v>146</v>
      </c>
      <c r="F9" s="767" t="s">
        <v>145</v>
      </c>
      <c r="G9" s="768" t="s">
        <v>146</v>
      </c>
      <c r="H9" s="767" t="s">
        <v>145</v>
      </c>
      <c r="I9" s="768" t="s">
        <v>146</v>
      </c>
      <c r="J9" s="767" t="s">
        <v>145</v>
      </c>
      <c r="K9" s="768" t="s">
        <v>146</v>
      </c>
      <c r="L9" s="767" t="s">
        <v>145</v>
      </c>
      <c r="M9" s="768" t="s">
        <v>146</v>
      </c>
      <c r="O9" s="282" t="s">
        <v>84</v>
      </c>
      <c r="P9" s="282" t="s">
        <v>147</v>
      </c>
      <c r="Q9" s="282" t="s">
        <v>148</v>
      </c>
      <c r="R9" s="282" t="s">
        <v>84</v>
      </c>
      <c r="S9" s="282" t="s">
        <v>147</v>
      </c>
      <c r="T9" s="282" t="s">
        <v>148</v>
      </c>
      <c r="U9" s="282" t="s">
        <v>84</v>
      </c>
      <c r="V9" s="282" t="s">
        <v>147</v>
      </c>
      <c r="W9" s="282" t="s">
        <v>148</v>
      </c>
      <c r="X9" s="282" t="s">
        <v>84</v>
      </c>
      <c r="Y9" s="282" t="s">
        <v>147</v>
      </c>
      <c r="Z9" s="282" t="s">
        <v>148</v>
      </c>
    </row>
    <row r="10" spans="1:26" ht="18" customHeight="1">
      <c r="A10" s="204">
        <v>2005</v>
      </c>
      <c r="B10" s="278">
        <v>386203</v>
      </c>
      <c r="C10" s="735">
        <v>51901</v>
      </c>
      <c r="D10" s="278">
        <v>326933</v>
      </c>
      <c r="E10" s="735">
        <v>38794</v>
      </c>
      <c r="F10" s="736">
        <v>103331</v>
      </c>
      <c r="G10" s="736">
        <v>14527</v>
      </c>
      <c r="H10" s="278">
        <v>2094</v>
      </c>
      <c r="I10" s="735">
        <v>1957</v>
      </c>
      <c r="J10" s="278">
        <v>73149</v>
      </c>
      <c r="K10" s="769"/>
      <c r="L10" s="278">
        <v>891710</v>
      </c>
      <c r="M10" s="735">
        <v>107179</v>
      </c>
      <c r="O10">
        <v>245434</v>
      </c>
      <c r="P10">
        <v>363.31967046130529</v>
      </c>
      <c r="Q10">
        <v>43.669173790102434</v>
      </c>
      <c r="R10">
        <v>107832</v>
      </c>
      <c r="S10">
        <v>358.15249647599973</v>
      </c>
      <c r="T10">
        <v>48.131352474219156</v>
      </c>
      <c r="U10">
        <v>101913</v>
      </c>
      <c r="V10">
        <v>320.79616928164216</v>
      </c>
      <c r="W10">
        <v>38.065801222611448</v>
      </c>
      <c r="X10">
        <v>35689</v>
      </c>
      <c r="Y10">
        <v>289.53178850626244</v>
      </c>
      <c r="Z10">
        <v>40.70441872845975</v>
      </c>
    </row>
    <row r="11" spans="1:26" ht="18" customHeight="1">
      <c r="A11" s="204">
        <v>2006</v>
      </c>
      <c r="B11" s="278">
        <v>402492</v>
      </c>
      <c r="C11" s="735">
        <v>52565</v>
      </c>
      <c r="D11" s="278">
        <v>303689</v>
      </c>
      <c r="E11" s="735">
        <v>41343</v>
      </c>
      <c r="F11" s="736">
        <v>105133</v>
      </c>
      <c r="G11" s="736">
        <v>11748</v>
      </c>
      <c r="H11" s="278">
        <v>1859</v>
      </c>
      <c r="I11" s="735">
        <v>2732</v>
      </c>
      <c r="J11" s="278">
        <v>66740</v>
      </c>
      <c r="K11" s="769"/>
      <c r="L11" s="278">
        <v>879913</v>
      </c>
      <c r="M11" s="735">
        <v>108388</v>
      </c>
      <c r="O11">
        <v>248714</v>
      </c>
      <c r="P11">
        <v>353.09258531947</v>
      </c>
      <c r="Q11">
        <v>44.404985840378693</v>
      </c>
      <c r="R11">
        <v>109302</v>
      </c>
      <c r="S11">
        <v>327.95132189479432</v>
      </c>
      <c r="T11">
        <v>45.329367805814641</v>
      </c>
      <c r="U11">
        <v>103515</v>
      </c>
      <c r="V11">
        <v>327.88655369937925</v>
      </c>
      <c r="W11">
        <v>41.158214078997268</v>
      </c>
      <c r="X11">
        <v>35897</v>
      </c>
      <c r="Y11">
        <v>296.52836579170196</v>
      </c>
      <c r="Z11">
        <v>43.135760654812302</v>
      </c>
    </row>
    <row r="12" spans="1:26" ht="18" customHeight="1">
      <c r="A12" s="204">
        <v>2007</v>
      </c>
      <c r="B12" s="207">
        <v>452488</v>
      </c>
      <c r="C12" s="206">
        <v>49398</v>
      </c>
      <c r="D12" s="207">
        <v>347132</v>
      </c>
      <c r="E12" s="206">
        <v>48942</v>
      </c>
      <c r="F12" s="208">
        <v>102068</v>
      </c>
      <c r="G12" s="208">
        <v>11059</v>
      </c>
      <c r="H12" s="207">
        <v>1973</v>
      </c>
      <c r="I12" s="206">
        <v>3251</v>
      </c>
      <c r="J12" s="207">
        <v>86372</v>
      </c>
      <c r="K12" s="769">
        <v>1015</v>
      </c>
      <c r="L12" s="278">
        <v>990033</v>
      </c>
      <c r="M12" s="735">
        <v>113665</v>
      </c>
      <c r="O12">
        <v>252006</v>
      </c>
      <c r="P12">
        <v>392.8608842646604</v>
      </c>
      <c r="Q12">
        <v>45.104084823377221</v>
      </c>
      <c r="R12">
        <v>110771</v>
      </c>
      <c r="S12">
        <v>408.48958662465805</v>
      </c>
      <c r="T12">
        <v>44.594704390138212</v>
      </c>
      <c r="U12">
        <v>105143</v>
      </c>
      <c r="V12">
        <v>330.15226881485216</v>
      </c>
      <c r="W12">
        <v>46.548034581474752</v>
      </c>
      <c r="X12">
        <v>36092</v>
      </c>
      <c r="Y12">
        <v>282.79951235730908</v>
      </c>
      <c r="Z12">
        <v>30.641139310650562</v>
      </c>
    </row>
    <row r="13" spans="1:26" ht="18" customHeight="1">
      <c r="A13" s="252">
        <v>2008</v>
      </c>
      <c r="B13" s="736">
        <v>458793</v>
      </c>
      <c r="C13" s="735">
        <v>53453</v>
      </c>
      <c r="D13" s="736">
        <v>341537</v>
      </c>
      <c r="E13" s="735">
        <v>45691</v>
      </c>
      <c r="F13" s="736">
        <v>100921</v>
      </c>
      <c r="G13" s="735">
        <v>14437</v>
      </c>
      <c r="H13" s="736">
        <v>1874</v>
      </c>
      <c r="I13" s="735">
        <v>1028</v>
      </c>
      <c r="J13" s="736">
        <v>86147</v>
      </c>
      <c r="K13" s="206">
        <v>1127</v>
      </c>
      <c r="L13" s="278">
        <v>989272</v>
      </c>
      <c r="M13" s="735">
        <v>115736</v>
      </c>
      <c r="O13">
        <v>255306</v>
      </c>
      <c r="P13">
        <v>387.48482213500665</v>
      </c>
      <c r="Q13">
        <v>45.332267945132507</v>
      </c>
      <c r="R13">
        <v>112245</v>
      </c>
      <c r="S13">
        <v>408.74248296137915</v>
      </c>
      <c r="T13">
        <v>47.621720343890594</v>
      </c>
      <c r="U13">
        <v>106765</v>
      </c>
      <c r="V13">
        <v>319.89603334426079</v>
      </c>
      <c r="W13">
        <v>42.795860066501199</v>
      </c>
      <c r="X13">
        <v>36296</v>
      </c>
      <c r="Y13">
        <v>278.04992285651309</v>
      </c>
      <c r="Z13">
        <v>39.775732863125413</v>
      </c>
    </row>
    <row r="14" spans="1:26" ht="18" customHeight="1">
      <c r="A14" s="204">
        <v>2009</v>
      </c>
      <c r="B14" s="278">
        <v>497288</v>
      </c>
      <c r="C14" s="735">
        <v>54408</v>
      </c>
      <c r="D14" s="278">
        <v>355396</v>
      </c>
      <c r="E14" s="735">
        <v>46742</v>
      </c>
      <c r="F14" s="736">
        <v>106015</v>
      </c>
      <c r="G14" s="736">
        <v>16179</v>
      </c>
      <c r="H14" s="278">
        <v>2766</v>
      </c>
      <c r="I14" s="735">
        <v>6107</v>
      </c>
      <c r="J14" s="278">
        <v>92324</v>
      </c>
      <c r="K14" s="769">
        <v>1240</v>
      </c>
      <c r="L14" s="736">
        <v>1053789</v>
      </c>
      <c r="M14" s="735">
        <v>124676</v>
      </c>
      <c r="O14">
        <v>258574</v>
      </c>
      <c r="P14">
        <v>407.53865431172505</v>
      </c>
      <c r="Q14">
        <v>48.216758065389406</v>
      </c>
      <c r="R14">
        <v>113725</v>
      </c>
      <c r="S14">
        <v>437.27236755330841</v>
      </c>
      <c r="T14">
        <v>47.841723455704546</v>
      </c>
      <c r="U14">
        <v>108360</v>
      </c>
      <c r="V14">
        <v>327.97711332595054</v>
      </c>
      <c r="W14">
        <v>43.135843484680692</v>
      </c>
      <c r="X14">
        <v>36489</v>
      </c>
      <c r="Y14">
        <v>290.53961467839622</v>
      </c>
      <c r="Z14">
        <v>44.339389953136561</v>
      </c>
    </row>
    <row r="15" spans="1:26" ht="18" customHeight="1">
      <c r="A15" s="204">
        <v>2010</v>
      </c>
      <c r="B15" s="278">
        <v>431504</v>
      </c>
      <c r="C15" s="735">
        <v>46738</v>
      </c>
      <c r="D15" s="278">
        <v>387819</v>
      </c>
      <c r="E15" s="735">
        <v>44372</v>
      </c>
      <c r="F15" s="736">
        <v>100827</v>
      </c>
      <c r="G15" s="736">
        <v>16518</v>
      </c>
      <c r="H15" s="278">
        <v>2417</v>
      </c>
      <c r="I15" s="735">
        <v>5640</v>
      </c>
      <c r="J15" s="278">
        <v>79665</v>
      </c>
      <c r="K15" s="769">
        <v>581</v>
      </c>
      <c r="L15" s="278">
        <v>1002232</v>
      </c>
      <c r="M15" s="735">
        <v>113849</v>
      </c>
      <c r="O15">
        <v>261886</v>
      </c>
      <c r="P15">
        <v>382.69781507984391</v>
      </c>
      <c r="Q15">
        <v>43.472732410285388</v>
      </c>
      <c r="R15">
        <v>115203</v>
      </c>
      <c r="S15">
        <v>374.55969028584326</v>
      </c>
      <c r="T15">
        <v>40.570124041908628</v>
      </c>
      <c r="U15">
        <v>109991</v>
      </c>
      <c r="V15">
        <v>352.59157567437336</v>
      </c>
      <c r="W15">
        <v>40.341482484930587</v>
      </c>
      <c r="X15">
        <v>36692</v>
      </c>
      <c r="Y15">
        <v>274.79287038046442</v>
      </c>
      <c r="Z15">
        <v>45.017987572222829</v>
      </c>
    </row>
    <row r="16" spans="1:26" ht="18" customHeight="1">
      <c r="A16" s="264">
        <v>2011</v>
      </c>
      <c r="B16" s="278">
        <v>469267</v>
      </c>
      <c r="C16" s="736">
        <v>47394</v>
      </c>
      <c r="D16" s="278">
        <v>444247</v>
      </c>
      <c r="E16" s="736">
        <v>53192</v>
      </c>
      <c r="F16" s="278">
        <v>102038</v>
      </c>
      <c r="G16" s="736">
        <v>13644</v>
      </c>
      <c r="H16" s="278">
        <v>3674</v>
      </c>
      <c r="I16" s="736">
        <v>5416</v>
      </c>
      <c r="J16" s="278">
        <v>76369</v>
      </c>
      <c r="K16" s="173">
        <v>1429</v>
      </c>
      <c r="L16" s="278">
        <v>1095595</v>
      </c>
      <c r="M16" s="735">
        <v>121075</v>
      </c>
      <c r="O16">
        <v>264902</v>
      </c>
      <c r="P16">
        <v>413.58502389562932</v>
      </c>
      <c r="Q16">
        <v>45.705581686812479</v>
      </c>
      <c r="R16">
        <v>116578</v>
      </c>
      <c r="S16">
        <v>402.53478357837668</v>
      </c>
      <c r="T16">
        <v>40.654325859081474</v>
      </c>
      <c r="U16">
        <v>111485</v>
      </c>
      <c r="V16">
        <v>398.48141005516436</v>
      </c>
      <c r="W16">
        <v>47.71224828452258</v>
      </c>
      <c r="X16">
        <v>36839</v>
      </c>
      <c r="Y16">
        <v>276.98363147751024</v>
      </c>
      <c r="Z16">
        <v>37.036835961888215</v>
      </c>
    </row>
    <row r="17" spans="1:26" ht="18" customHeight="1">
      <c r="A17" s="264">
        <v>2012</v>
      </c>
      <c r="B17" s="278">
        <v>492755</v>
      </c>
      <c r="C17" s="736">
        <v>48761</v>
      </c>
      <c r="D17" s="278">
        <v>423084</v>
      </c>
      <c r="E17" s="736">
        <v>50595</v>
      </c>
      <c r="F17" s="278">
        <v>117094</v>
      </c>
      <c r="G17" s="736">
        <v>15765</v>
      </c>
      <c r="H17" s="278">
        <v>3810</v>
      </c>
      <c r="I17" s="736">
        <v>5918</v>
      </c>
      <c r="J17" s="278">
        <v>88132</v>
      </c>
      <c r="K17" s="208">
        <v>1316</v>
      </c>
      <c r="L17" s="278">
        <v>1124875</v>
      </c>
      <c r="M17" s="735">
        <v>122355</v>
      </c>
      <c r="O17">
        <v>267912</v>
      </c>
      <c r="P17">
        <v>419.8673445011795</v>
      </c>
      <c r="Q17" s="157">
        <v>45.66984681537221</v>
      </c>
      <c r="R17">
        <v>117972</v>
      </c>
      <c r="S17">
        <v>417.68809548028349</v>
      </c>
      <c r="T17">
        <v>41.332689112670799</v>
      </c>
      <c r="U17">
        <v>112982</v>
      </c>
      <c r="V17">
        <v>374.4702696004673</v>
      </c>
      <c r="W17">
        <v>44.781469614628875</v>
      </c>
      <c r="X17">
        <v>36958</v>
      </c>
      <c r="Y17">
        <v>316.8299150386926</v>
      </c>
      <c r="Z17">
        <v>42.656529032956328</v>
      </c>
    </row>
    <row r="18" spans="1:26" ht="18" customHeight="1">
      <c r="A18" s="252">
        <v>2013</v>
      </c>
      <c r="B18" s="736">
        <v>487690</v>
      </c>
      <c r="C18" s="736">
        <v>47895</v>
      </c>
      <c r="D18" s="278">
        <v>444746</v>
      </c>
      <c r="E18" s="735">
        <v>51652</v>
      </c>
      <c r="F18" s="736">
        <v>111127</v>
      </c>
      <c r="G18" s="736">
        <v>17928</v>
      </c>
      <c r="H18" s="278">
        <v>3659</v>
      </c>
      <c r="I18" s="735">
        <v>5716</v>
      </c>
      <c r="J18" s="736">
        <v>92923</v>
      </c>
      <c r="K18" s="208">
        <v>687</v>
      </c>
      <c r="L18" s="278">
        <v>1140145</v>
      </c>
      <c r="M18" s="735">
        <v>123878</v>
      </c>
      <c r="O18">
        <v>270947</v>
      </c>
      <c r="P18">
        <v>420.8000088578209</v>
      </c>
      <c r="Q18" s="157">
        <v>45.720380738668446</v>
      </c>
      <c r="R18" s="119">
        <v>119349</v>
      </c>
      <c r="S18">
        <v>408.62512463447536</v>
      </c>
      <c r="T18">
        <v>40.130206369554834</v>
      </c>
      <c r="U18">
        <v>114496</v>
      </c>
      <c r="V18">
        <v>388.43802403577416</v>
      </c>
      <c r="W18">
        <v>45.112493012856341</v>
      </c>
      <c r="X18">
        <v>37102</v>
      </c>
      <c r="Y18">
        <v>299.51754622392326</v>
      </c>
      <c r="Z18">
        <v>48.320845237453511</v>
      </c>
    </row>
    <row r="19" spans="1:26" ht="18" customHeight="1">
      <c r="A19" s="257">
        <v>2014</v>
      </c>
      <c r="B19" s="738">
        <f>+'82'!C$43</f>
        <v>498600</v>
      </c>
      <c r="C19" s="770">
        <f>+'82'!C$55</f>
        <v>49140</v>
      </c>
      <c r="D19" s="738">
        <f>+'82'!E$43</f>
        <v>468195</v>
      </c>
      <c r="E19" s="770">
        <f>+'82'!E$55</f>
        <v>51292</v>
      </c>
      <c r="F19" s="738">
        <f>+'82'!G$43</f>
        <v>125415</v>
      </c>
      <c r="G19" s="770">
        <f>+'82'!G$55</f>
        <v>15957</v>
      </c>
      <c r="H19" s="738">
        <f>+'82'!I$43</f>
        <v>3152</v>
      </c>
      <c r="I19" s="770">
        <f>+'82'!I$55</f>
        <v>6918</v>
      </c>
      <c r="J19" s="738">
        <f>+'82'!M43</f>
        <v>113168</v>
      </c>
      <c r="K19" s="770">
        <f>+'82'!M$55</f>
        <v>362</v>
      </c>
      <c r="L19" s="738">
        <f>+B19+D19+F19+H19+J19</f>
        <v>1208530</v>
      </c>
      <c r="M19" s="739">
        <f>+C19+E19+G19+I19+K19</f>
        <v>123669</v>
      </c>
      <c r="O19" s="139">
        <f>+R19+U19+X19</f>
        <v>273968</v>
      </c>
      <c r="P19">
        <f>+L19/O19*100</f>
        <v>441.12086083046194</v>
      </c>
      <c r="Q19" s="157">
        <f>+M19/O19*100</f>
        <v>45.139943351048295</v>
      </c>
      <c r="R19" s="119">
        <f>+'8'!B85-X19</f>
        <v>120741</v>
      </c>
      <c r="S19">
        <f>+B19/R19*100</f>
        <v>412.95003354287275</v>
      </c>
      <c r="T19">
        <f>+C19/R19*100</f>
        <v>40.698685616319231</v>
      </c>
      <c r="U19" s="119">
        <f>+'8'!B34</f>
        <v>115998</v>
      </c>
      <c r="V19">
        <f>+D19/U19*100</f>
        <v>403.62333833341955</v>
      </c>
      <c r="W19">
        <f>+E19/U19*100</f>
        <v>44.218003758685491</v>
      </c>
      <c r="X19" s="119">
        <f>+'8'!B67+'8'!B73</f>
        <v>37229</v>
      </c>
      <c r="Y19">
        <f>+F19/X19*100</f>
        <v>336.87447957237634</v>
      </c>
      <c r="Z19">
        <f>+G19/X19*100</f>
        <v>42.86174756238416</v>
      </c>
    </row>
    <row r="20" spans="1:26">
      <c r="U20" s="119"/>
    </row>
    <row r="21" spans="1:26">
      <c r="R21" s="119"/>
    </row>
    <row r="62" spans="1:13">
      <c r="A62" s="77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13">
      <c r="A63" s="77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13">
      <c r="A64" s="77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</row>
  </sheetData>
  <phoneticPr fontId="19" type="noConversion"/>
  <pageMargins left="0.59055118110236227" right="0.59055118110236227" top="0.78740157480314965" bottom="0.78740157480314965" header="0.51181102362204722" footer="0.51181102362204722"/>
  <pageSetup paperSize="5" scale="95" orientation="portrait" horizontalDpi="300" verticalDpi="300" r:id="rId1"/>
  <headerFooter alignWithMargins="0">
    <oddHeader xml:space="preserve">&amp;R
</oddHeader>
  </headerFooter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/>
  <dimension ref="A1:AA30"/>
  <sheetViews>
    <sheetView showGridLines="0" topLeftCell="A4" zoomScale="75" workbookViewId="0">
      <selection activeCell="O14" sqref="O14"/>
    </sheetView>
  </sheetViews>
  <sheetFormatPr baseColWidth="10" defaultColWidth="12.5703125" defaultRowHeight="12.75"/>
  <cols>
    <col min="1" max="1" width="22.42578125" style="837" customWidth="1"/>
    <col min="2" max="2" width="9.28515625" style="837" customWidth="1"/>
    <col min="3" max="3" width="8.140625" style="837" customWidth="1"/>
    <col min="4" max="4" width="8" style="837" customWidth="1"/>
    <col min="5" max="9" width="8.140625" style="837" customWidth="1"/>
    <col min="10" max="10" width="7" style="837" customWidth="1"/>
    <col min="11" max="12" width="8.140625" style="837" customWidth="1"/>
    <col min="13" max="13" width="8.5703125" style="837" customWidth="1"/>
    <col min="14" max="17" width="8.140625" style="837" customWidth="1"/>
    <col min="18" max="18" width="10.42578125" style="837" customWidth="1"/>
    <col min="19" max="19" width="9.7109375" style="837" customWidth="1"/>
    <col min="20" max="20" width="9.42578125" style="837" customWidth="1"/>
    <col min="21" max="21" width="9.140625" style="837" customWidth="1"/>
    <col min="22" max="22" width="8.28515625" style="837" customWidth="1"/>
    <col min="23" max="23" width="8.85546875" style="837" customWidth="1"/>
    <col min="24" max="24" width="10" style="837" customWidth="1"/>
    <col min="25" max="25" width="8.85546875" style="837" customWidth="1"/>
    <col min="26" max="26" width="10.85546875" style="775" customWidth="1"/>
    <col min="27" max="27" width="9.28515625" style="775" customWidth="1"/>
    <col min="28" max="16384" width="12.5703125" style="775"/>
  </cols>
  <sheetData>
    <row r="1" spans="1:27">
      <c r="A1" s="772" t="s">
        <v>152</v>
      </c>
      <c r="B1" s="772"/>
      <c r="C1" s="773"/>
      <c r="D1" s="773"/>
      <c r="E1" s="773"/>
      <c r="F1" s="773"/>
      <c r="G1" s="773"/>
      <c r="H1" s="773"/>
      <c r="I1" s="773"/>
      <c r="J1" s="773"/>
      <c r="K1" s="774"/>
      <c r="L1" s="773"/>
      <c r="M1" s="773"/>
      <c r="N1" s="773"/>
      <c r="O1" s="773"/>
      <c r="P1" s="773"/>
      <c r="Q1" s="773"/>
      <c r="R1" s="773"/>
      <c r="S1" s="773"/>
      <c r="T1" s="773"/>
      <c r="U1" s="773"/>
      <c r="V1" s="773"/>
      <c r="W1" s="773"/>
      <c r="X1" s="773"/>
      <c r="Y1" s="773"/>
    </row>
    <row r="2" spans="1:27">
      <c r="A2" s="772"/>
      <c r="B2" s="772"/>
      <c r="C2" s="773"/>
      <c r="D2" s="773"/>
      <c r="E2" s="773"/>
      <c r="F2" s="773"/>
      <c r="G2" s="773"/>
      <c r="H2" s="773"/>
      <c r="I2" s="773"/>
      <c r="J2" s="773"/>
      <c r="K2" s="773"/>
      <c r="L2" s="773"/>
      <c r="M2" s="773"/>
      <c r="N2" s="773"/>
      <c r="O2" s="773"/>
      <c r="P2" s="773"/>
      <c r="Q2" s="773"/>
      <c r="R2" s="773"/>
      <c r="S2" s="773"/>
      <c r="T2" s="773"/>
      <c r="U2" s="773"/>
      <c r="V2" s="773"/>
      <c r="W2" s="773"/>
      <c r="X2" s="773"/>
      <c r="Y2" s="773"/>
    </row>
    <row r="3" spans="1:27">
      <c r="A3" s="772" t="s">
        <v>1437</v>
      </c>
      <c r="B3" s="772"/>
      <c r="C3" s="773"/>
      <c r="D3" s="773"/>
      <c r="E3" s="773"/>
      <c r="F3" s="773"/>
      <c r="G3" s="773"/>
      <c r="H3" s="773"/>
      <c r="I3" s="773"/>
      <c r="J3" s="773"/>
      <c r="K3" s="773"/>
      <c r="L3" s="773"/>
      <c r="M3" s="773"/>
      <c r="N3" s="773"/>
      <c r="O3" s="773"/>
      <c r="P3" s="773"/>
      <c r="Q3" s="773"/>
      <c r="R3" s="773"/>
      <c r="S3" s="773"/>
      <c r="T3" s="773"/>
      <c r="U3" s="773"/>
      <c r="V3" s="773"/>
      <c r="W3" s="773"/>
      <c r="X3" s="773"/>
      <c r="Y3" s="773"/>
    </row>
    <row r="4" spans="1:27" ht="15.75">
      <c r="A4" s="773"/>
      <c r="B4" s="773"/>
      <c r="C4" s="776"/>
      <c r="D4" s="773"/>
      <c r="E4" s="773"/>
      <c r="F4" s="773"/>
      <c r="G4" s="773"/>
      <c r="H4" s="773"/>
      <c r="I4" s="773"/>
      <c r="J4" s="773"/>
      <c r="K4" s="773"/>
      <c r="L4" s="773"/>
      <c r="M4" s="773"/>
      <c r="N4" s="773"/>
      <c r="O4" s="773"/>
      <c r="P4" s="773"/>
      <c r="Q4" s="773"/>
      <c r="R4" s="773"/>
      <c r="S4" s="773"/>
      <c r="T4" s="773"/>
      <c r="U4" s="773"/>
      <c r="V4" s="773"/>
      <c r="W4" s="773"/>
      <c r="X4" s="773"/>
      <c r="Y4" s="773"/>
    </row>
    <row r="5" spans="1:27">
      <c r="A5" s="773"/>
      <c r="B5" s="773"/>
      <c r="C5" s="773"/>
      <c r="D5" s="773"/>
      <c r="E5" s="773"/>
      <c r="F5" s="773"/>
      <c r="G5" s="773"/>
      <c r="H5" s="773"/>
      <c r="I5" s="773"/>
      <c r="J5" s="773"/>
      <c r="K5" s="773"/>
      <c r="L5" s="773"/>
      <c r="M5" s="773"/>
      <c r="N5" s="773"/>
      <c r="O5" s="773"/>
      <c r="P5" s="773"/>
      <c r="Q5" s="773"/>
      <c r="R5" s="773"/>
      <c r="S5" s="773"/>
      <c r="T5" s="773"/>
      <c r="U5" s="773"/>
      <c r="V5" s="773"/>
      <c r="W5" s="773"/>
      <c r="X5" s="773"/>
      <c r="Y5" s="773"/>
    </row>
    <row r="6" spans="1:27">
      <c r="A6" s="773"/>
      <c r="B6" s="773"/>
      <c r="C6" s="773"/>
      <c r="D6" s="773"/>
      <c r="E6" s="773"/>
      <c r="F6" s="773"/>
      <c r="G6" s="773"/>
      <c r="H6" s="773"/>
      <c r="I6" s="773"/>
      <c r="J6" s="773"/>
      <c r="K6" s="773"/>
      <c r="L6" s="773"/>
      <c r="M6" s="773"/>
      <c r="N6" s="773"/>
      <c r="O6" s="773"/>
      <c r="P6" s="773"/>
      <c r="Q6" s="773"/>
      <c r="R6" s="773"/>
      <c r="S6" s="773"/>
      <c r="T6" s="773"/>
      <c r="U6" s="773"/>
      <c r="V6" s="773"/>
      <c r="W6" s="773"/>
      <c r="X6" s="773"/>
      <c r="Y6" s="773"/>
    </row>
    <row r="7" spans="1:27">
      <c r="A7" s="773"/>
      <c r="B7" s="773"/>
      <c r="C7" s="773"/>
      <c r="D7" s="773"/>
      <c r="E7" s="773"/>
      <c r="F7" s="773"/>
      <c r="G7" s="773"/>
      <c r="H7" s="773"/>
      <c r="I7" s="773"/>
      <c r="J7" s="773"/>
      <c r="K7" s="773"/>
      <c r="L7" s="773"/>
      <c r="M7" s="773"/>
      <c r="N7" s="773"/>
      <c r="O7" s="773"/>
      <c r="P7" s="773"/>
      <c r="Q7" s="773"/>
      <c r="R7" s="773"/>
      <c r="S7" s="773"/>
      <c r="T7" s="773"/>
      <c r="U7" s="773"/>
      <c r="V7" s="773"/>
      <c r="W7" s="773"/>
      <c r="X7" s="773"/>
      <c r="Y7" s="773"/>
    </row>
    <row r="8" spans="1:27" ht="15.75">
      <c r="A8" s="777"/>
      <c r="B8" s="777"/>
      <c r="C8" s="777"/>
      <c r="D8" s="777"/>
      <c r="E8" s="777"/>
      <c r="F8" s="777"/>
      <c r="G8" s="777"/>
      <c r="H8" s="777"/>
      <c r="I8" s="777"/>
      <c r="J8" s="777"/>
      <c r="K8" s="777"/>
      <c r="L8" s="777"/>
      <c r="M8" s="777"/>
      <c r="N8" s="777"/>
      <c r="O8" s="777"/>
      <c r="P8" s="777"/>
      <c r="Q8" s="777"/>
      <c r="R8" s="777"/>
      <c r="S8" s="777"/>
      <c r="T8" s="777"/>
      <c r="U8" s="777"/>
      <c r="V8" s="777"/>
      <c r="W8" s="777"/>
      <c r="X8" s="777"/>
      <c r="Y8" s="777"/>
      <c r="Z8" s="776"/>
      <c r="AA8" s="776"/>
    </row>
    <row r="9" spans="1:27" s="788" customFormat="1" ht="21.75" customHeight="1">
      <c r="A9" s="778"/>
      <c r="B9" s="778"/>
      <c r="C9" s="779"/>
      <c r="D9" s="780"/>
      <c r="E9" s="1290" t="s">
        <v>153</v>
      </c>
      <c r="F9" s="1290"/>
      <c r="G9" s="1290"/>
      <c r="H9" s="1290"/>
      <c r="I9" s="1290"/>
      <c r="J9" s="1290"/>
      <c r="K9" s="1290"/>
      <c r="L9" s="1290"/>
      <c r="M9" s="1290"/>
      <c r="N9" s="1290"/>
      <c r="O9" s="1290"/>
      <c r="P9" s="781"/>
      <c r="Q9" s="1288" t="s">
        <v>154</v>
      </c>
      <c r="R9" s="782" t="s">
        <v>155</v>
      </c>
      <c r="S9" s="783"/>
      <c r="T9" s="784" t="s">
        <v>156</v>
      </c>
      <c r="U9" s="785"/>
      <c r="V9" s="782" t="s">
        <v>157</v>
      </c>
      <c r="W9" s="786"/>
      <c r="X9" s="786"/>
      <c r="Y9" s="783"/>
      <c r="Z9" s="787"/>
      <c r="AA9" s="787"/>
    </row>
    <row r="10" spans="1:27" s="788" customFormat="1" ht="19.5" customHeight="1">
      <c r="A10" s="789" t="s">
        <v>158</v>
      </c>
      <c r="B10" s="1189" t="s">
        <v>1472</v>
      </c>
      <c r="C10" s="790"/>
      <c r="D10" s="791" t="s">
        <v>159</v>
      </c>
      <c r="E10" s="792" t="s">
        <v>160</v>
      </c>
      <c r="F10" s="793"/>
      <c r="G10" s="793"/>
      <c r="H10" s="793"/>
      <c r="I10" s="793"/>
      <c r="J10" s="793"/>
      <c r="K10" s="794"/>
      <c r="L10" s="795" t="s">
        <v>161</v>
      </c>
      <c r="M10" s="795"/>
      <c r="N10" s="795"/>
      <c r="O10" s="795"/>
      <c r="P10" s="791" t="s">
        <v>159</v>
      </c>
      <c r="Q10" s="1289"/>
      <c r="R10" s="796"/>
      <c r="S10" s="797"/>
      <c r="T10" s="798"/>
      <c r="U10" s="798"/>
      <c r="V10" s="799"/>
      <c r="W10" s="800"/>
      <c r="X10" s="800"/>
      <c r="Y10" s="801"/>
      <c r="Z10" s="787"/>
      <c r="AA10" s="787"/>
    </row>
    <row r="11" spans="1:27" s="788" customFormat="1" ht="36" customHeight="1">
      <c r="A11" s="789" t="s">
        <v>162</v>
      </c>
      <c r="B11" s="1189" t="s">
        <v>1473</v>
      </c>
      <c r="C11" s="802" t="s">
        <v>163</v>
      </c>
      <c r="D11" s="802" t="s">
        <v>164</v>
      </c>
      <c r="E11" s="803" t="s">
        <v>1159</v>
      </c>
      <c r="F11" s="804" t="s">
        <v>1157</v>
      </c>
      <c r="G11" s="804" t="s">
        <v>165</v>
      </c>
      <c r="H11" s="805" t="s">
        <v>166</v>
      </c>
      <c r="I11" s="805" t="s">
        <v>167</v>
      </c>
      <c r="J11" s="806" t="s">
        <v>243</v>
      </c>
      <c r="K11" s="804" t="s">
        <v>571</v>
      </c>
      <c r="L11" s="807" t="s">
        <v>168</v>
      </c>
      <c r="M11" s="805" t="s">
        <v>169</v>
      </c>
      <c r="N11" s="808" t="s">
        <v>170</v>
      </c>
      <c r="O11" s="804" t="s">
        <v>571</v>
      </c>
      <c r="P11" s="802" t="s">
        <v>171</v>
      </c>
      <c r="Q11" s="809" t="s">
        <v>172</v>
      </c>
      <c r="R11" s="810" t="s">
        <v>173</v>
      </c>
      <c r="S11" s="804" t="s">
        <v>174</v>
      </c>
      <c r="T11" s="804" t="s">
        <v>571</v>
      </c>
      <c r="U11" s="811" t="s">
        <v>175</v>
      </c>
      <c r="V11" s="805" t="s">
        <v>176</v>
      </c>
      <c r="W11" s="805" t="s">
        <v>177</v>
      </c>
      <c r="X11" s="812" t="s">
        <v>178</v>
      </c>
      <c r="Y11" s="813" t="s">
        <v>179</v>
      </c>
      <c r="Z11" s="787"/>
      <c r="AA11" s="787"/>
    </row>
    <row r="12" spans="1:27" ht="23.25" customHeight="1">
      <c r="A12" s="814" t="s">
        <v>690</v>
      </c>
      <c r="B12" s="1191"/>
      <c r="C12" s="815">
        <f>SUM(C13:C25)</f>
        <v>829</v>
      </c>
      <c r="D12" s="815">
        <f t="shared" ref="D12:Q12" si="0">SUM(D13:D25)</f>
        <v>478</v>
      </c>
      <c r="E12" s="815">
        <f t="shared" si="0"/>
        <v>14391</v>
      </c>
      <c r="F12" s="815">
        <f t="shared" si="0"/>
        <v>20</v>
      </c>
      <c r="G12" s="815">
        <f t="shared" si="0"/>
        <v>6092</v>
      </c>
      <c r="H12" s="815">
        <f t="shared" si="0"/>
        <v>46</v>
      </c>
      <c r="I12" s="815">
        <f t="shared" si="0"/>
        <v>4077</v>
      </c>
      <c r="J12" s="815">
        <f t="shared" si="0"/>
        <v>5325</v>
      </c>
      <c r="K12" s="815">
        <f>SUM(K13:K25)-J12</f>
        <v>24626</v>
      </c>
      <c r="L12" s="815">
        <f t="shared" si="0"/>
        <v>23951</v>
      </c>
      <c r="M12" s="815">
        <f t="shared" si="0"/>
        <v>5324</v>
      </c>
      <c r="N12" s="815">
        <f t="shared" si="0"/>
        <v>675</v>
      </c>
      <c r="O12" s="816">
        <f>L12+N12</f>
        <v>24626</v>
      </c>
      <c r="P12" s="815">
        <f t="shared" si="0"/>
        <v>479</v>
      </c>
      <c r="Q12" s="815">
        <f t="shared" si="0"/>
        <v>1555</v>
      </c>
      <c r="R12" s="815">
        <f>SUM(R13:R25)</f>
        <v>286996</v>
      </c>
      <c r="S12" s="815">
        <f>SUM(S13:S25)</f>
        <v>233844</v>
      </c>
      <c r="T12" s="815">
        <f>SUM(T13:T25)</f>
        <v>237440</v>
      </c>
      <c r="U12" s="815">
        <f>SUM(U13:U25)</f>
        <v>228404</v>
      </c>
      <c r="V12" s="817">
        <f>S12/R12*100</f>
        <v>81.47988125270038</v>
      </c>
      <c r="W12" s="818">
        <f>+T12/O12</f>
        <v>9.6418419556566235</v>
      </c>
      <c r="X12" s="819">
        <f>+O12/(R12/30.4)</f>
        <v>2.608504648148406</v>
      </c>
      <c r="Y12" s="820">
        <f>(+R12-S12)/O12</f>
        <v>2.1583692032810848</v>
      </c>
      <c r="Z12" s="776"/>
      <c r="AA12" s="776"/>
    </row>
    <row r="13" spans="1:27" ht="23.25" customHeight="1">
      <c r="A13" s="1184" t="s">
        <v>1474</v>
      </c>
      <c r="B13" s="789">
        <v>403</v>
      </c>
      <c r="C13" s="822">
        <f>+'86'!C13+'87'!C13+'88'!C13+'89'!C13+'90'!C13</f>
        <v>264</v>
      </c>
      <c r="D13" s="823">
        <f>+'86'!D13+'87'!D13+'88'!D13+'89'!D13+'90'!D13</f>
        <v>129</v>
      </c>
      <c r="E13" s="824">
        <f>+'86'!E13+'87'!E13+'88'!E13+'89'!E13+'90'!E13</f>
        <v>7438</v>
      </c>
      <c r="F13" s="824">
        <f>+'86'!F13+'87'!F13+'88'!F13+'89'!F13+'90'!F13</f>
        <v>10</v>
      </c>
      <c r="G13" s="824">
        <f>+'86'!G13+'87'!G13+'88'!G13+'89'!G13+'90'!G13</f>
        <v>3839</v>
      </c>
      <c r="H13" s="824">
        <f>+'86'!H13+'87'!H13+'88'!H13+'89'!H13+'90'!H13</f>
        <v>15</v>
      </c>
      <c r="I13" s="824">
        <f>+'86'!I13+'87'!I13+'88'!I13+'89'!I13+'90'!I13</f>
        <v>47</v>
      </c>
      <c r="J13" s="823">
        <f>+'86'!J13+'87'!J13+'88'!J13+'89'!J13+'90'!J13</f>
        <v>2455</v>
      </c>
      <c r="K13" s="816">
        <f>SUM(E13:J13)</f>
        <v>13804</v>
      </c>
      <c r="L13" s="823">
        <f>+'86'!L13+'87'!L13+'88'!L13+'89'!L13+'90'!L13</f>
        <v>11449</v>
      </c>
      <c r="M13" s="823">
        <f>+'86'!M13+'87'!M13+'88'!M13+'89'!M13+'90'!M13</f>
        <v>1894</v>
      </c>
      <c r="N13" s="823">
        <f>+'86'!N13+'87'!N13+'88'!N13+'89'!N13+'90'!N13</f>
        <v>453</v>
      </c>
      <c r="O13" s="816">
        <f>SUM(L13:N13)</f>
        <v>13796</v>
      </c>
      <c r="P13" s="825">
        <f>SUM(D13,K13)-O13</f>
        <v>137</v>
      </c>
      <c r="Q13" s="823">
        <f>+'86'!Q13+'87'!Q13+'88'!Q13+'89'!Q13+'90'!Q13</f>
        <v>347</v>
      </c>
      <c r="R13" s="823">
        <f>+'86'!R13+'87'!R13+'88'!R13+'89'!R13+'90'!R13</f>
        <v>95863</v>
      </c>
      <c r="S13" s="823">
        <f>+'86'!S13+'87'!S13+'88'!S13+'89'!S13+'90'!S13</f>
        <v>74463</v>
      </c>
      <c r="T13" s="823">
        <f>+'86'!T13+'87'!T13+'88'!T13+'89'!T13+'90'!T13</f>
        <v>74571</v>
      </c>
      <c r="U13" s="824">
        <f>+'86'!U13+'87'!U13+'88'!U13+'89'!U13+'90'!U13</f>
        <v>73423</v>
      </c>
      <c r="V13" s="817">
        <f>S13/R13*100</f>
        <v>77.676475804011986</v>
      </c>
      <c r="W13" s="818">
        <f>+T13/O13</f>
        <v>5.4052623948970719</v>
      </c>
      <c r="X13" s="819">
        <f>+O13/(R13/30.4)</f>
        <v>4.3749767897937675</v>
      </c>
      <c r="Y13" s="820">
        <f>(+R13-S13)/O13</f>
        <v>1.5511742534067845</v>
      </c>
      <c r="Z13" s="776"/>
      <c r="AA13" s="776"/>
    </row>
    <row r="14" spans="1:27" ht="23.25" customHeight="1">
      <c r="A14" s="1184" t="s">
        <v>1475</v>
      </c>
      <c r="B14" s="789">
        <v>404</v>
      </c>
      <c r="C14" s="822">
        <f>+'86'!C14+'87'!C14+'88'!C14+'89'!C14+'90'!C14</f>
        <v>12</v>
      </c>
      <c r="D14" s="823">
        <f>+'86'!D14+'87'!D14+'88'!D14+'89'!D14+'90'!D14</f>
        <v>5</v>
      </c>
      <c r="E14" s="824">
        <f>+'86'!E14+'87'!E14+'88'!E14+'89'!E14+'90'!E14</f>
        <v>729</v>
      </c>
      <c r="F14" s="824">
        <f>+'86'!F14+'87'!F14+'88'!F14+'89'!F14+'90'!F14</f>
        <v>0</v>
      </c>
      <c r="G14" s="824">
        <f>+'86'!G14+'87'!G14+'88'!G14+'89'!G14+'90'!G14</f>
        <v>104</v>
      </c>
      <c r="H14" s="824">
        <f>+'86'!H14+'87'!H14+'88'!H14+'89'!H14+'90'!H14</f>
        <v>0</v>
      </c>
      <c r="I14" s="824">
        <f>+'86'!I14+'87'!I14+'88'!I14+'89'!I14+'90'!I14</f>
        <v>1</v>
      </c>
      <c r="J14" s="823">
        <f>+'86'!J14+'87'!J14+'88'!J14+'89'!J14+'90'!J14</f>
        <v>318</v>
      </c>
      <c r="K14" s="816">
        <f>SUM(E14:J14)</f>
        <v>1152</v>
      </c>
      <c r="L14" s="823">
        <f>+'86'!L14+'87'!L14+'88'!L14+'89'!L14+'90'!L14</f>
        <v>597</v>
      </c>
      <c r="M14" s="823">
        <f>+'86'!M14+'87'!M14+'88'!M14+'89'!M14+'90'!M14</f>
        <v>538</v>
      </c>
      <c r="N14" s="823">
        <f>+'86'!N14+'87'!N14+'88'!N14+'89'!N14+'90'!N14</f>
        <v>16</v>
      </c>
      <c r="O14" s="816">
        <f>SUM(L14:N14)</f>
        <v>1151</v>
      </c>
      <c r="P14" s="825">
        <f>SUM(D14,K14)-O14</f>
        <v>6</v>
      </c>
      <c r="Q14" s="823">
        <f>+'86'!Q14+'87'!Q14+'88'!Q14+'89'!Q14+'90'!Q14</f>
        <v>62</v>
      </c>
      <c r="R14" s="823">
        <f>+'86'!R14+'87'!R14+'88'!R14+'89'!R14+'90'!R14</f>
        <v>4706</v>
      </c>
      <c r="S14" s="823">
        <f>+'86'!S14+'87'!S14+'88'!S14+'89'!S14+'90'!S14</f>
        <v>4763</v>
      </c>
      <c r="T14" s="823">
        <f>+'86'!T14+'87'!T14+'88'!T14+'89'!T14+'90'!T14</f>
        <v>4016</v>
      </c>
      <c r="U14" s="824">
        <f>+'86'!U14+'87'!U14+'88'!U14+'89'!U14+'90'!U14</f>
        <v>3566</v>
      </c>
      <c r="V14" s="817">
        <f>S14/R14*100</f>
        <v>101.21121971950701</v>
      </c>
      <c r="W14" s="818">
        <f>+T14/O14</f>
        <v>3.4891398783666379</v>
      </c>
      <c r="X14" s="819">
        <f>+O14/(R14/30.4)</f>
        <v>7.4352741181470465</v>
      </c>
      <c r="Y14" s="820">
        <f>(+R14-S14)/O14</f>
        <v>-4.9522154648132061E-2</v>
      </c>
      <c r="Z14" s="776"/>
      <c r="AA14" s="776"/>
    </row>
    <row r="15" spans="1:27" ht="23.25" customHeight="1">
      <c r="A15" s="821" t="s">
        <v>180</v>
      </c>
      <c r="B15" s="789">
        <v>416</v>
      </c>
      <c r="C15" s="822">
        <f>+'86'!C15+'87'!C15+'88'!C15+'89'!C15+'90'!C15</f>
        <v>62</v>
      </c>
      <c r="D15" s="823">
        <f>+'86'!D15+'87'!D15+'88'!D15+'89'!D15+'90'!D15</f>
        <v>22</v>
      </c>
      <c r="E15" s="826">
        <f>+'86'!E15+'87'!E15+'88'!E15+'89'!E15+'90'!E15</f>
        <v>3306</v>
      </c>
      <c r="F15" s="826">
        <f>+'86'!F15+'87'!F15+'88'!F15+'89'!F15+'90'!F15</f>
        <v>0</v>
      </c>
      <c r="G15" s="826">
        <f>+'86'!G15+'87'!G15+'88'!G15+'89'!G15+'90'!G15</f>
        <v>1031</v>
      </c>
      <c r="H15" s="826">
        <f>+'86'!H15+'87'!H15+'88'!H15+'89'!H15+'90'!H15</f>
        <v>0</v>
      </c>
      <c r="I15" s="826">
        <f>+'86'!I15+'87'!I15+'88'!I15+'89'!I15+'90'!I15</f>
        <v>70</v>
      </c>
      <c r="J15" s="823">
        <f>+'86'!J15+'87'!J15+'88'!J15+'89'!J15+'90'!J15</f>
        <v>431</v>
      </c>
      <c r="K15" s="816">
        <f t="shared" ref="K15:K25" si="1">SUM(E15:J15)</f>
        <v>4838</v>
      </c>
      <c r="L15" s="823">
        <f>+'86'!L15+'87'!L15+'88'!L15+'89'!L15+'90'!L15</f>
        <v>4289</v>
      </c>
      <c r="M15" s="823">
        <f>+'86'!M15+'87'!M15+'88'!M15+'89'!M15+'90'!M15</f>
        <v>553</v>
      </c>
      <c r="N15" s="823">
        <f>+'86'!N15+'87'!N15+'88'!N15+'89'!N15+'90'!N15</f>
        <v>1</v>
      </c>
      <c r="O15" s="816">
        <f t="shared" ref="O15:O25" si="2">SUM(L15:N15)</f>
        <v>4843</v>
      </c>
      <c r="P15" s="825">
        <f t="shared" ref="P15:P25" si="3">SUM(D15,K15)-O15</f>
        <v>17</v>
      </c>
      <c r="Q15" s="823">
        <f>+'86'!Q15+'87'!Q15+'88'!Q15+'89'!Q15+'90'!Q15</f>
        <v>155</v>
      </c>
      <c r="R15" s="823">
        <f>+'86'!R15+'87'!R15+'88'!R15+'89'!R15+'90'!R15</f>
        <v>21878</v>
      </c>
      <c r="S15" s="823">
        <f>+'86'!S15+'87'!S15+'88'!S15+'89'!S15+'90'!S15</f>
        <v>13714</v>
      </c>
      <c r="T15" s="823">
        <f>+'86'!T15+'87'!T15+'88'!T15+'89'!T15+'90'!T15</f>
        <v>13596</v>
      </c>
      <c r="U15" s="823">
        <f>+'86'!U15+'87'!U15+'88'!U15+'89'!U15+'90'!U15</f>
        <v>13521</v>
      </c>
      <c r="V15" s="817">
        <f t="shared" ref="V15:V24" si="4">S15/R15*100</f>
        <v>62.683974769174512</v>
      </c>
      <c r="W15" s="818">
        <f t="shared" ref="W15:W24" si="5">+T15/O15</f>
        <v>2.807350815610159</v>
      </c>
      <c r="X15" s="819">
        <f t="shared" ref="X15:X24" si="6">+O15/(R15/30.4)</f>
        <v>6.7294633878782335</v>
      </c>
      <c r="Y15" s="820">
        <f t="shared" ref="Y15:Y24" si="7">(+R15-S15)/O15</f>
        <v>1.6857319843072476</v>
      </c>
      <c r="Z15" s="776"/>
      <c r="AA15" s="776"/>
    </row>
    <row r="16" spans="1:27" ht="23.25" customHeight="1">
      <c r="A16" s="1184" t="s">
        <v>1476</v>
      </c>
      <c r="B16" s="789">
        <v>407</v>
      </c>
      <c r="C16" s="822">
        <f>+'86'!C16+'87'!C16+'88'!C16+'89'!C16+'90'!C16</f>
        <v>24</v>
      </c>
      <c r="D16" s="823">
        <f>+'86'!D16+'87'!D16+'88'!D16+'89'!D16+'90'!D16</f>
        <v>2</v>
      </c>
      <c r="E16" s="824">
        <f>+'86'!E16+'87'!E16+'88'!E16+'89'!E16+'90'!E16</f>
        <v>872</v>
      </c>
      <c r="F16" s="824">
        <f>+'86'!F16+'87'!F16+'88'!F16+'89'!F16+'90'!F16</f>
        <v>1</v>
      </c>
      <c r="G16" s="824">
        <f>+'86'!G16+'87'!G16+'88'!G16+'89'!G16+'90'!G16</f>
        <v>154</v>
      </c>
      <c r="H16" s="824">
        <f>+'86'!H16+'87'!H16+'88'!H16+'89'!H16+'90'!H16</f>
        <v>2</v>
      </c>
      <c r="I16" s="824">
        <f>+'86'!I16+'87'!I16+'88'!I16+'89'!I16+'90'!I16</f>
        <v>3</v>
      </c>
      <c r="J16" s="823">
        <f>+'86'!J16+'87'!J16+'88'!J16+'89'!J16+'90'!J16</f>
        <v>10</v>
      </c>
      <c r="K16" s="816">
        <f t="shared" si="1"/>
        <v>1042</v>
      </c>
      <c r="L16" s="823">
        <f>+'86'!L16+'87'!L16+'88'!L16+'89'!L16+'90'!L16</f>
        <v>1038</v>
      </c>
      <c r="M16" s="823">
        <f>+'86'!M16+'87'!M16+'88'!M16+'89'!M16+'90'!M16</f>
        <v>2</v>
      </c>
      <c r="N16" s="823">
        <f>+'86'!N16+'87'!N16+'88'!N16+'89'!N16+'90'!N16</f>
        <v>1</v>
      </c>
      <c r="O16" s="816">
        <f t="shared" si="2"/>
        <v>1041</v>
      </c>
      <c r="P16" s="825">
        <f t="shared" si="3"/>
        <v>3</v>
      </c>
      <c r="Q16" s="823">
        <f>+'86'!Q16+'87'!Q16+'88'!Q16+'89'!Q16+'90'!Q16</f>
        <v>152</v>
      </c>
      <c r="R16" s="823">
        <f>+'86'!R16+'87'!R16+'88'!R16+'89'!R16+'90'!R16</f>
        <v>8429</v>
      </c>
      <c r="S16" s="823">
        <f>+'86'!S16+'87'!S16+'88'!S16+'89'!S16+'90'!S16</f>
        <v>3228</v>
      </c>
      <c r="T16" s="823">
        <f>+'86'!T16+'87'!T16+'88'!T16+'89'!T16+'90'!T16</f>
        <v>3218</v>
      </c>
      <c r="U16" s="823">
        <f>+'86'!U16+'87'!U16+'88'!U16+'89'!U16+'90'!U16</f>
        <v>3133</v>
      </c>
      <c r="V16" s="817">
        <f t="shared" si="4"/>
        <v>38.296357812314632</v>
      </c>
      <c r="W16" s="818">
        <f t="shared" si="5"/>
        <v>3.0912584053794427</v>
      </c>
      <c r="X16" s="819">
        <f t="shared" si="6"/>
        <v>3.7544667220310832</v>
      </c>
      <c r="Y16" s="820">
        <f t="shared" si="7"/>
        <v>4.996157540826129</v>
      </c>
      <c r="Z16" s="776"/>
      <c r="AA16" s="776"/>
    </row>
    <row r="17" spans="1:27" ht="23.25" customHeight="1">
      <c r="A17" s="1184" t="s">
        <v>1477</v>
      </c>
      <c r="B17" s="789">
        <v>409</v>
      </c>
      <c r="C17" s="822">
        <f>+'86'!C17+'87'!C17+'88'!C17+'89'!C17+'90'!C17</f>
        <v>30</v>
      </c>
      <c r="D17" s="823">
        <f>+'86'!D17+'87'!D17+'88'!D17+'89'!D17+'90'!D17</f>
        <v>8</v>
      </c>
      <c r="E17" s="824">
        <f>+'86'!E17+'87'!E17+'88'!E17+'89'!E17+'90'!E17</f>
        <v>460</v>
      </c>
      <c r="F17" s="824">
        <f>+'86'!F17+'87'!F17+'88'!F17+'89'!F17+'90'!F17</f>
        <v>0</v>
      </c>
      <c r="G17" s="824">
        <f>+'86'!G17+'87'!G17+'88'!G17+'89'!G17+'90'!G17</f>
        <v>759</v>
      </c>
      <c r="H17" s="824">
        <f>+'86'!H17+'87'!H17+'88'!H17+'89'!H17+'90'!H17</f>
        <v>0</v>
      </c>
      <c r="I17" s="824">
        <f>+'86'!I17+'87'!I17+'88'!I17+'89'!I17+'90'!I17</f>
        <v>30</v>
      </c>
      <c r="J17" s="823">
        <f>+'86'!J17+'87'!J17+'88'!J17+'89'!J17+'90'!J17</f>
        <v>304</v>
      </c>
      <c r="K17" s="816">
        <f t="shared" ref="K17" si="8">SUM(E17:J17)</f>
        <v>1553</v>
      </c>
      <c r="L17" s="823">
        <f>+'86'!L17+'87'!L17+'88'!L17+'89'!L17+'90'!L17</f>
        <v>1362</v>
      </c>
      <c r="M17" s="823">
        <f>+'86'!M17+'87'!M17+'88'!M17+'89'!M17+'90'!M17</f>
        <v>190</v>
      </c>
      <c r="N17" s="823">
        <f>+'86'!N17+'87'!N17+'88'!N17+'89'!N17+'90'!N17</f>
        <v>2</v>
      </c>
      <c r="O17" s="816">
        <f t="shared" ref="O17" si="9">SUM(L17:N17)</f>
        <v>1554</v>
      </c>
      <c r="P17" s="825">
        <f t="shared" ref="P17" si="10">SUM(D17,K17)-O17</f>
        <v>7</v>
      </c>
      <c r="Q17" s="823">
        <f>+'86'!Q17+'87'!Q17+'88'!Q17+'89'!Q17+'90'!Q17</f>
        <v>507</v>
      </c>
      <c r="R17" s="823">
        <f>+'86'!R17+'87'!R17+'88'!R17+'89'!R17+'90'!R17</f>
        <v>10441</v>
      </c>
      <c r="S17" s="823">
        <f>+'86'!S17+'87'!S17+'88'!S17+'89'!S17+'90'!S17</f>
        <v>4064</v>
      </c>
      <c r="T17" s="823">
        <f>+'86'!T17+'87'!T17+'88'!T17+'89'!T17+'90'!T17</f>
        <v>5161</v>
      </c>
      <c r="U17" s="823">
        <f>+'86'!U17+'87'!U17+'88'!U17+'89'!U17+'90'!U17</f>
        <v>5080</v>
      </c>
      <c r="V17" s="817">
        <f t="shared" ref="V17" si="11">S17/R17*100</f>
        <v>38.923474762953738</v>
      </c>
      <c r="W17" s="818">
        <f t="shared" ref="W17" si="12">+T17/O17</f>
        <v>3.3211068211068211</v>
      </c>
      <c r="X17" s="819">
        <f t="shared" ref="X17" si="13">+O17/(R17/30.4)</f>
        <v>4.5246240781534341</v>
      </c>
      <c r="Y17" s="820">
        <f t="shared" ref="Y17" si="14">(+R17-S17)/O17</f>
        <v>4.1036036036036032</v>
      </c>
      <c r="Z17" s="776"/>
      <c r="AA17" s="776"/>
    </row>
    <row r="18" spans="1:27" ht="23.25" customHeight="1">
      <c r="A18" s="821" t="s">
        <v>181</v>
      </c>
      <c r="B18" s="789">
        <v>413</v>
      </c>
      <c r="C18" s="822">
        <f>+'86'!C18+'87'!C18+'88'!C18+'89'!C18+'90'!C18</f>
        <v>18</v>
      </c>
      <c r="D18" s="823">
        <f>+'86'!D18+'87'!D18+'88'!D18+'89'!D18+'90'!D18</f>
        <v>13</v>
      </c>
      <c r="E18" s="824">
        <f>+'86'!E18+'87'!E18+'88'!E18+'89'!E18+'90'!E18</f>
        <v>203</v>
      </c>
      <c r="F18" s="824">
        <f>+'86'!F18+'87'!F18+'88'!F18+'89'!F18+'90'!F18</f>
        <v>0</v>
      </c>
      <c r="G18" s="824">
        <f>+'86'!G18+'87'!G18+'88'!G18+'89'!G18+'90'!G18</f>
        <v>116</v>
      </c>
      <c r="H18" s="824">
        <f>+'86'!H18+'87'!H18+'88'!H18+'89'!H18+'90'!H18</f>
        <v>2</v>
      </c>
      <c r="I18" s="824">
        <f>+'86'!I18+'87'!I18+'88'!I18+'89'!I18+'90'!I18</f>
        <v>108</v>
      </c>
      <c r="J18" s="823">
        <f>+'86'!J18+'87'!J18+'88'!J18+'89'!J18+'90'!J18</f>
        <v>243</v>
      </c>
      <c r="K18" s="816">
        <f t="shared" si="1"/>
        <v>672</v>
      </c>
      <c r="L18" s="823">
        <f>+'86'!L18+'87'!L18+'88'!L18+'89'!L18+'90'!L18</f>
        <v>584</v>
      </c>
      <c r="M18" s="823">
        <f>+'86'!M18+'87'!M18+'88'!M18+'89'!M18+'90'!M18</f>
        <v>95</v>
      </c>
      <c r="N18" s="823">
        <f>+'86'!N18+'87'!N18+'88'!N18+'89'!N18+'90'!N18</f>
        <v>0</v>
      </c>
      <c r="O18" s="816">
        <f t="shared" si="2"/>
        <v>679</v>
      </c>
      <c r="P18" s="825">
        <f t="shared" si="3"/>
        <v>6</v>
      </c>
      <c r="Q18" s="823">
        <f>+'86'!Q18+'87'!Q18+'88'!Q18+'89'!Q18+'90'!Q18</f>
        <v>25</v>
      </c>
      <c r="R18" s="823">
        <f>+'86'!R18+'87'!R18+'88'!R18+'89'!R18+'90'!R18</f>
        <v>4997</v>
      </c>
      <c r="S18" s="823">
        <f>+'86'!S18+'87'!S18+'88'!S18+'89'!S18+'90'!S18</f>
        <v>2539</v>
      </c>
      <c r="T18" s="823">
        <f>+'86'!T18+'87'!T18+'88'!T18+'89'!T18+'90'!T18</f>
        <v>2513</v>
      </c>
      <c r="U18" s="823">
        <f>+'86'!U18+'87'!U18+'88'!U18+'89'!U18+'90'!U18</f>
        <v>2418</v>
      </c>
      <c r="V18" s="817">
        <f t="shared" si="4"/>
        <v>50.810486291775071</v>
      </c>
      <c r="W18" s="818">
        <f t="shared" si="5"/>
        <v>3.7010309278350517</v>
      </c>
      <c r="X18" s="819">
        <f t="shared" si="6"/>
        <v>4.1307984790874528</v>
      </c>
      <c r="Y18" s="820">
        <f t="shared" si="7"/>
        <v>3.6200294550810015</v>
      </c>
      <c r="Z18" s="776"/>
      <c r="AA18" s="776"/>
    </row>
    <row r="19" spans="1:27" ht="23.25" customHeight="1">
      <c r="A19" s="1184" t="s">
        <v>1469</v>
      </c>
      <c r="B19" s="1189">
        <v>412</v>
      </c>
      <c r="C19" s="822">
        <f>+'86'!C19+'87'!C19+'88'!C19+'89'!C19+'90'!C19</f>
        <v>6</v>
      </c>
      <c r="D19" s="823">
        <f>+'86'!D19+'87'!D19+'88'!D19+'89'!D19+'90'!D19</f>
        <v>2</v>
      </c>
      <c r="E19" s="824">
        <f>+'86'!E19+'87'!E19+'88'!E19+'89'!E19+'90'!E19</f>
        <v>172</v>
      </c>
      <c r="F19" s="824">
        <f>+'86'!F19+'87'!F19+'88'!F19+'89'!F19+'90'!F19</f>
        <v>0</v>
      </c>
      <c r="G19" s="824">
        <f>+'86'!G19+'87'!G19+'88'!G19+'89'!G19+'90'!G19</f>
        <v>6</v>
      </c>
      <c r="H19" s="824">
        <f>+'86'!H19+'87'!H19+'88'!H19+'89'!H19+'90'!H19</f>
        <v>3</v>
      </c>
      <c r="I19" s="824">
        <f>+'86'!I19+'87'!I19+'88'!I19+'89'!I19+'90'!I19</f>
        <v>30</v>
      </c>
      <c r="J19" s="823">
        <f>+'86'!J19+'87'!J19+'88'!J19+'89'!J19+'90'!J19</f>
        <v>60</v>
      </c>
      <c r="K19" s="816">
        <f t="shared" si="1"/>
        <v>271</v>
      </c>
      <c r="L19" s="823">
        <f>+'86'!L19+'87'!L19+'88'!L19+'89'!L19+'90'!L19</f>
        <v>80</v>
      </c>
      <c r="M19" s="823">
        <f>+'86'!M19+'87'!M19+'88'!M19+'89'!M19+'90'!M19</f>
        <v>188</v>
      </c>
      <c r="N19" s="823">
        <f>+'86'!N19+'87'!N19+'88'!N19+'89'!N19+'90'!N19</f>
        <v>5</v>
      </c>
      <c r="O19" s="816">
        <f t="shared" si="2"/>
        <v>273</v>
      </c>
      <c r="P19" s="825">
        <f t="shared" si="3"/>
        <v>0</v>
      </c>
      <c r="Q19" s="823">
        <f>+'86'!Q19+'87'!Q19+'88'!Q19+'89'!Q19+'90'!Q19</f>
        <v>26</v>
      </c>
      <c r="R19" s="823">
        <f>+'86'!R19+'87'!R19+'88'!R19+'89'!R19+'90'!R19</f>
        <v>2190</v>
      </c>
      <c r="S19" s="823">
        <f>+'86'!S19+'87'!S19+'88'!S19+'89'!S19+'90'!S19</f>
        <v>1241</v>
      </c>
      <c r="T19" s="823">
        <f>+'86'!T19+'87'!T19+'88'!T19+'89'!T19+'90'!T19</f>
        <v>1385</v>
      </c>
      <c r="U19" s="823">
        <f>+'86'!U19+'87'!U19+'88'!U19+'89'!U19+'90'!U19</f>
        <v>1371</v>
      </c>
      <c r="V19" s="817">
        <f t="shared" si="4"/>
        <v>56.666666666666664</v>
      </c>
      <c r="W19" s="818">
        <f t="shared" si="5"/>
        <v>5.073260073260073</v>
      </c>
      <c r="X19" s="819">
        <f t="shared" si="6"/>
        <v>3.7895890410958901</v>
      </c>
      <c r="Y19" s="820">
        <f t="shared" si="7"/>
        <v>3.4761904761904763</v>
      </c>
      <c r="Z19" s="776"/>
      <c r="AA19" s="776"/>
    </row>
    <row r="20" spans="1:27" ht="23.25" customHeight="1">
      <c r="A20" s="821" t="s">
        <v>182</v>
      </c>
      <c r="B20" s="789">
        <v>414</v>
      </c>
      <c r="C20" s="822">
        <f>+'86'!C20+'87'!C20+'88'!C20+'89'!C20+'90'!C20</f>
        <v>5</v>
      </c>
      <c r="D20" s="823">
        <f>+'86'!D20+'87'!D20+'88'!D20+'89'!D20+'90'!D20</f>
        <v>5</v>
      </c>
      <c r="E20" s="824">
        <f>+'86'!E20+'87'!E20+'88'!E20+'89'!E20+'90'!E20</f>
        <v>0</v>
      </c>
      <c r="F20" s="824">
        <f>+'86'!F20+'87'!F20+'88'!F20+'89'!F20+'90'!F20</f>
        <v>0</v>
      </c>
      <c r="G20" s="824">
        <f>+'86'!G20+'87'!G20+'88'!G20+'89'!G20+'90'!G20</f>
        <v>13</v>
      </c>
      <c r="H20" s="824">
        <f>+'86'!H20+'87'!H20+'88'!H20+'89'!H20+'90'!H20</f>
        <v>7</v>
      </c>
      <c r="I20" s="824">
        <f>+'86'!I20+'87'!I20+'88'!I20+'89'!I20+'90'!I20</f>
        <v>105</v>
      </c>
      <c r="J20" s="823">
        <f>+'86'!J20+'87'!J20+'88'!J20+'89'!J20+'90'!J20</f>
        <v>41</v>
      </c>
      <c r="K20" s="816">
        <f t="shared" si="1"/>
        <v>166</v>
      </c>
      <c r="L20" s="823">
        <f>+'86'!L20+'87'!L20+'88'!L20+'89'!L20+'90'!L20</f>
        <v>17</v>
      </c>
      <c r="M20" s="823">
        <f>+'86'!M20+'87'!M20+'88'!M20+'89'!M20+'90'!M20</f>
        <v>139</v>
      </c>
      <c r="N20" s="823">
        <f>+'86'!N20+'87'!N20+'88'!N20+'89'!N20+'90'!N20</f>
        <v>12</v>
      </c>
      <c r="O20" s="816">
        <f t="shared" si="2"/>
        <v>168</v>
      </c>
      <c r="P20" s="825">
        <f t="shared" si="3"/>
        <v>3</v>
      </c>
      <c r="Q20" s="823">
        <f>+'86'!Q20+'87'!Q20+'88'!Q20+'89'!Q20+'90'!Q20</f>
        <v>1</v>
      </c>
      <c r="R20" s="823">
        <f>+'86'!R20+'87'!R20+'88'!R20+'89'!R20+'90'!R20</f>
        <v>1825</v>
      </c>
      <c r="S20" s="823">
        <f>+'86'!S20+'87'!S20+'88'!S20+'89'!S20+'90'!S20</f>
        <v>1570</v>
      </c>
      <c r="T20" s="823">
        <f>+'86'!T20+'87'!T20+'88'!T20+'89'!T20+'90'!T20</f>
        <v>1638</v>
      </c>
      <c r="U20" s="823">
        <f>+'86'!U20+'87'!U20+'88'!U20+'89'!U20+'90'!U20</f>
        <v>1638</v>
      </c>
      <c r="V20" s="817">
        <f t="shared" si="4"/>
        <v>86.027397260273972</v>
      </c>
      <c r="W20" s="818">
        <f t="shared" si="5"/>
        <v>9.75</v>
      </c>
      <c r="X20" s="819">
        <f t="shared" si="6"/>
        <v>2.7984657534246575</v>
      </c>
      <c r="Y20" s="820">
        <f t="shared" si="7"/>
        <v>1.5178571428571428</v>
      </c>
      <c r="Z20" s="776"/>
      <c r="AA20" s="776"/>
    </row>
    <row r="21" spans="1:27" ht="23.25" customHeight="1">
      <c r="A21" s="821" t="s">
        <v>183</v>
      </c>
      <c r="B21" s="789">
        <v>405</v>
      </c>
      <c r="C21" s="822">
        <f>+'86'!C21+'87'!C21+'88'!C21+'89'!C21+'90'!C21</f>
        <v>6</v>
      </c>
      <c r="D21" s="823">
        <f>+'86'!D21+'87'!D21+'88'!D21+'89'!D21+'90'!D21</f>
        <v>3</v>
      </c>
      <c r="E21" s="824">
        <f>+'86'!E21+'87'!E21+'88'!E21+'89'!E21+'90'!E21</f>
        <v>83</v>
      </c>
      <c r="F21" s="824">
        <f>+'86'!F21+'87'!F21+'88'!F21+'89'!F21+'90'!F21</f>
        <v>0</v>
      </c>
      <c r="G21" s="824">
        <f>+'86'!G21+'87'!G21+'88'!G21+'89'!G21+'90'!G21</f>
        <v>2</v>
      </c>
      <c r="H21" s="824">
        <f>+'86'!H21+'87'!H21+'88'!H21+'89'!H21+'90'!H21</f>
        <v>8</v>
      </c>
      <c r="I21" s="824">
        <f>+'86'!I21+'87'!I21+'88'!I21+'89'!I21+'90'!I21</f>
        <v>59</v>
      </c>
      <c r="J21" s="823">
        <f>+'86'!J21+'87'!J21+'88'!J21+'89'!J21+'90'!J21</f>
        <v>127</v>
      </c>
      <c r="K21" s="816">
        <f>SUM(E21:J21)</f>
        <v>279</v>
      </c>
      <c r="L21" s="823">
        <f>+'86'!L21+'87'!L21+'88'!L21+'89'!L21+'90'!L21</f>
        <v>36</v>
      </c>
      <c r="M21" s="823">
        <f>+'86'!M21+'87'!M21+'88'!M21+'89'!M21+'90'!M21</f>
        <v>155</v>
      </c>
      <c r="N21" s="823">
        <f>+'86'!N21+'87'!N21+'88'!N21+'89'!N21+'90'!N21</f>
        <v>86</v>
      </c>
      <c r="O21" s="816">
        <f>SUM(L21:N21)</f>
        <v>277</v>
      </c>
      <c r="P21" s="825">
        <f>SUM(D21,K21)-O21</f>
        <v>5</v>
      </c>
      <c r="Q21" s="823">
        <f>+'86'!Q21+'87'!Q21+'88'!Q21+'89'!Q21+'90'!Q21</f>
        <v>12</v>
      </c>
      <c r="R21" s="823">
        <f>+'86'!R21+'87'!R21+'88'!R21+'89'!R21+'90'!R21</f>
        <v>2178</v>
      </c>
      <c r="S21" s="823">
        <f>+'86'!S21+'87'!S21+'88'!S21+'89'!S21+'90'!S21</f>
        <v>1854</v>
      </c>
      <c r="T21" s="823">
        <f>+'86'!T21+'87'!T21+'88'!T21+'89'!T21+'90'!T21</f>
        <v>1916</v>
      </c>
      <c r="U21" s="823">
        <f>+'86'!U21+'87'!U21+'88'!U21+'89'!U21+'90'!U21</f>
        <v>1858</v>
      </c>
      <c r="V21" s="817">
        <f>S21/R21*100</f>
        <v>85.123966942148769</v>
      </c>
      <c r="W21" s="818">
        <f>+T21/O21</f>
        <v>6.9169675090252705</v>
      </c>
      <c r="X21" s="819">
        <f>+O21/(R21/30.4)</f>
        <v>3.8662993572084483</v>
      </c>
      <c r="Y21" s="820">
        <f>(+R21-S21)/O21</f>
        <v>1.1696750902527075</v>
      </c>
      <c r="Z21" s="776"/>
      <c r="AA21" s="776"/>
    </row>
    <row r="22" spans="1:27" ht="23.25" customHeight="1">
      <c r="A22" s="821" t="s">
        <v>184</v>
      </c>
      <c r="B22" s="789">
        <v>406</v>
      </c>
      <c r="C22" s="822">
        <f>+'86'!C22+'87'!C22+'88'!C22+'89'!C22+'90'!C22</f>
        <v>12</v>
      </c>
      <c r="D22" s="823">
        <f>+'86'!D22+'87'!D22+'88'!D22+'89'!D22+'90'!D22</f>
        <v>10</v>
      </c>
      <c r="E22" s="824">
        <f>+'86'!E22+'87'!E22+'88'!E22+'89'!E22+'90'!E22</f>
        <v>420</v>
      </c>
      <c r="F22" s="824">
        <f>+'86'!F22+'87'!F22+'88'!F22+'89'!F22+'90'!F22</f>
        <v>0</v>
      </c>
      <c r="G22" s="824">
        <f>+'86'!G22+'87'!G22+'88'!G22+'89'!G22+'90'!G22</f>
        <v>24</v>
      </c>
      <c r="H22" s="824">
        <f>+'86'!H22+'87'!H22+'88'!H22+'89'!H22+'90'!H22</f>
        <v>6</v>
      </c>
      <c r="I22" s="824">
        <f>+'86'!I22+'87'!I22+'88'!I22+'89'!I22+'90'!I22</f>
        <v>29</v>
      </c>
      <c r="J22" s="823">
        <f>+'86'!J22+'87'!J22+'88'!J22+'89'!J22+'90'!J22</f>
        <v>379</v>
      </c>
      <c r="K22" s="816">
        <f>SUM(E22:J22)</f>
        <v>858</v>
      </c>
      <c r="L22" s="823">
        <f>+'86'!L22+'87'!L22+'88'!L22+'89'!L22+'90'!L22</f>
        <v>146</v>
      </c>
      <c r="M22" s="823">
        <f>+'86'!M22+'87'!M22+'88'!M22+'89'!M22+'90'!M22</f>
        <v>637</v>
      </c>
      <c r="N22" s="823">
        <f>+'86'!N22+'87'!N22+'88'!N22+'89'!N22+'90'!N22</f>
        <v>76</v>
      </c>
      <c r="O22" s="816">
        <f>SUM(L22:N22)</f>
        <v>859</v>
      </c>
      <c r="P22" s="825">
        <f>SUM(D22,K22)-O22</f>
        <v>9</v>
      </c>
      <c r="Q22" s="823">
        <f>+'86'!Q22+'87'!Q22+'88'!Q22+'89'!Q22+'90'!Q22</f>
        <v>15</v>
      </c>
      <c r="R22" s="823">
        <f>+'86'!R22+'87'!R22+'88'!R22+'89'!R22+'90'!R22</f>
        <v>4374</v>
      </c>
      <c r="S22" s="823">
        <f>+'86'!S22+'87'!S22+'88'!S22+'89'!S22+'90'!S22</f>
        <v>3806</v>
      </c>
      <c r="T22" s="823">
        <f>+'86'!T22+'87'!T22+'88'!T22+'89'!T22+'90'!T22</f>
        <v>3774</v>
      </c>
      <c r="U22" s="823">
        <f>+'86'!U22+'87'!U22+'88'!U22+'89'!U22+'90'!U22</f>
        <v>3619</v>
      </c>
      <c r="V22" s="817">
        <f>S22/R22*100</f>
        <v>87.014174668495656</v>
      </c>
      <c r="W22" s="818">
        <f>+T22/O22</f>
        <v>4.3934807916181606</v>
      </c>
      <c r="X22" s="819">
        <f>+O22/(R22/30.4)</f>
        <v>5.9701874714220384</v>
      </c>
      <c r="Y22" s="820">
        <f>(+R22-S22)/O22</f>
        <v>0.66123399301513386</v>
      </c>
      <c r="Z22" s="776"/>
      <c r="AA22" s="776"/>
    </row>
    <row r="23" spans="1:27" ht="23.25" customHeight="1">
      <c r="A23" s="821" t="s">
        <v>843</v>
      </c>
      <c r="B23" s="789">
        <v>415</v>
      </c>
      <c r="C23" s="822">
        <f>+'86'!C23+'87'!C23+'88'!C23+'89'!C23+'90'!C23</f>
        <v>6</v>
      </c>
      <c r="D23" s="823">
        <f>+'86'!D23+'87'!D23+'88'!D23+'89'!D23+'90'!D23</f>
        <v>5</v>
      </c>
      <c r="E23" s="824">
        <f>+'86'!E23+'87'!E23+'88'!E23+'89'!E23+'90'!E23</f>
        <v>2</v>
      </c>
      <c r="F23" s="824">
        <f>+'86'!F23+'87'!F23+'88'!F23+'89'!F23+'90'!F23</f>
        <v>0</v>
      </c>
      <c r="G23" s="824">
        <f>+'86'!G23+'87'!G23+'88'!G23+'89'!G23+'90'!G23</f>
        <v>21</v>
      </c>
      <c r="H23" s="824">
        <f>+'86'!H23+'87'!H23+'88'!H23+'89'!H23+'90'!H23</f>
        <v>2</v>
      </c>
      <c r="I23" s="824">
        <f>+'86'!I23+'87'!I23+'88'!I23+'89'!I23+'90'!I23</f>
        <v>91</v>
      </c>
      <c r="J23" s="823">
        <f>+'86'!J23+'87'!J23+'88'!J23+'89'!J23+'90'!J23</f>
        <v>127</v>
      </c>
      <c r="K23" s="816">
        <f>SUM(E23:J23)</f>
        <v>243</v>
      </c>
      <c r="L23" s="823">
        <f>+'86'!L23+'87'!L23+'88'!L23+'89'!L23+'90'!L23</f>
        <v>55</v>
      </c>
      <c r="M23" s="823">
        <f>+'86'!M23+'87'!M23+'88'!M23+'89'!M23+'90'!M23</f>
        <v>184</v>
      </c>
      <c r="N23" s="823">
        <f>+'86'!N23+'87'!N23+'88'!N23+'89'!N23+'90'!N23</f>
        <v>5</v>
      </c>
      <c r="O23" s="816">
        <f>SUM(L23:N23)</f>
        <v>244</v>
      </c>
      <c r="P23" s="825">
        <f>SUM(D23,K23)-O23</f>
        <v>4</v>
      </c>
      <c r="Q23" s="823">
        <f>+'86'!Q23+'87'!Q23+'88'!Q23+'89'!Q23+'90'!Q23</f>
        <v>5</v>
      </c>
      <c r="R23" s="823">
        <f>+'86'!R23+'87'!R23+'88'!R23+'89'!R23+'90'!R23</f>
        <v>2208</v>
      </c>
      <c r="S23" s="823">
        <f>+'86'!S23+'87'!S23+'88'!S23+'89'!S23+'90'!S23</f>
        <v>1211</v>
      </c>
      <c r="T23" s="823">
        <f>+'86'!T23+'87'!T23+'88'!T23+'89'!T23+'90'!T23</f>
        <v>1284</v>
      </c>
      <c r="U23" s="823">
        <f>+'86'!U23+'87'!U23+'88'!U23+'89'!U23+'90'!U23</f>
        <v>1271</v>
      </c>
      <c r="V23" s="817">
        <f>S23/R23*100</f>
        <v>54.846014492753625</v>
      </c>
      <c r="W23" s="818">
        <f>+T23/O23</f>
        <v>5.2622950819672134</v>
      </c>
      <c r="X23" s="819">
        <f>+O23/(R23/30.4)</f>
        <v>3.3594202898550725</v>
      </c>
      <c r="Y23" s="820">
        <f>(+R23-S23)/O23</f>
        <v>4.0860655737704921</v>
      </c>
      <c r="Z23" s="776"/>
      <c r="AA23" s="776"/>
    </row>
    <row r="24" spans="1:27" ht="23.25" customHeight="1">
      <c r="A24" s="821" t="s">
        <v>185</v>
      </c>
      <c r="B24" s="789">
        <v>330</v>
      </c>
      <c r="C24" s="822">
        <f>+'86'!C24+'87'!C24+'88'!C24+'89'!C24+'90'!C24</f>
        <v>30</v>
      </c>
      <c r="D24" s="823">
        <f>+'86'!D24+'87'!D24+'88'!D24+'89'!D24+'90'!D24</f>
        <v>9</v>
      </c>
      <c r="E24" s="824">
        <f>+'86'!E24+'87'!E24+'88'!E24+'89'!E24+'90'!E24</f>
        <v>272</v>
      </c>
      <c r="F24" s="824">
        <f>+'86'!F24+'87'!F24+'88'!F24+'89'!F24+'90'!F24</f>
        <v>9</v>
      </c>
      <c r="G24" s="824">
        <f>+'86'!G24+'87'!G24+'88'!G24+'89'!G24+'90'!G24</f>
        <v>23</v>
      </c>
      <c r="H24" s="824">
        <f>+'86'!H24+'87'!H24+'88'!H24+'89'!H24+'90'!H24</f>
        <v>1</v>
      </c>
      <c r="I24" s="824">
        <f>+'86'!I24+'87'!I24+'88'!I24+'89'!I24+'90'!I24</f>
        <v>3011</v>
      </c>
      <c r="J24" s="823">
        <f>+'86'!J24+'87'!J24+'88'!J24+'89'!J24+'90'!J24</f>
        <v>577</v>
      </c>
      <c r="K24" s="816">
        <f t="shared" si="1"/>
        <v>3893</v>
      </c>
      <c r="L24" s="823">
        <f>+'86'!L24+'87'!L24+'88'!L24+'89'!L24+'90'!L24</f>
        <v>3384</v>
      </c>
      <c r="M24" s="823">
        <f>+'86'!M24+'87'!M24+'88'!M24+'89'!M24+'90'!M24</f>
        <v>496</v>
      </c>
      <c r="N24" s="823">
        <f>+'86'!N24+'87'!N24+'88'!N24+'89'!N24+'90'!N24</f>
        <v>13</v>
      </c>
      <c r="O24" s="816">
        <f t="shared" si="2"/>
        <v>3893</v>
      </c>
      <c r="P24" s="825">
        <f t="shared" si="3"/>
        <v>9</v>
      </c>
      <c r="Q24" s="823">
        <f>+'86'!Q24+'87'!Q24+'88'!Q24+'89'!Q24+'90'!Q24</f>
        <v>243</v>
      </c>
      <c r="R24" s="823">
        <f>+'86'!R24+'87'!R24+'88'!R24+'89'!R24+'90'!R24</f>
        <v>10587</v>
      </c>
      <c r="S24" s="823">
        <f>+'86'!S24+'87'!S24+'88'!S24+'89'!S24+'90'!S24</f>
        <v>6742</v>
      </c>
      <c r="T24" s="823">
        <f>+'86'!T24+'87'!T24+'88'!T24+'89'!T24+'90'!T24</f>
        <v>6862</v>
      </c>
      <c r="U24" s="823">
        <f>+'86'!U24+'87'!U24+'88'!U24+'89'!U24+'90'!U24</f>
        <v>0</v>
      </c>
      <c r="V24" s="817">
        <f t="shared" si="4"/>
        <v>63.681873996410687</v>
      </c>
      <c r="W24" s="818">
        <f t="shared" si="5"/>
        <v>1.7626509118931415</v>
      </c>
      <c r="X24" s="819">
        <f t="shared" si="6"/>
        <v>11.178539718522716</v>
      </c>
      <c r="Y24" s="820">
        <f t="shared" si="7"/>
        <v>0.98767017724120221</v>
      </c>
      <c r="Z24" s="776"/>
      <c r="AA24" s="776"/>
    </row>
    <row r="25" spans="1:27" ht="23.25" customHeight="1">
      <c r="A25" s="827" t="s">
        <v>1076</v>
      </c>
      <c r="B25" s="1192"/>
      <c r="C25" s="828">
        <f>+'86'!C25+'87'!C25+'88'!C25+'89'!C25+'90'!C25</f>
        <v>354</v>
      </c>
      <c r="D25" s="829">
        <f>+'86'!D25+'87'!D25+'88'!D25+'89'!D25+'90'!D25</f>
        <v>265</v>
      </c>
      <c r="E25" s="830">
        <f>+'86'!E25+'87'!E25+'88'!E25+'89'!E25+'90'!E25</f>
        <v>434</v>
      </c>
      <c r="F25" s="830">
        <f>+'86'!F25+'87'!F25+'88'!F25+'89'!F25+'90'!F25</f>
        <v>0</v>
      </c>
      <c r="G25" s="830">
        <f>+'86'!G25+'87'!G25+'88'!G25+'89'!G25+'90'!G25</f>
        <v>0</v>
      </c>
      <c r="H25" s="830">
        <f>+'86'!H25+'87'!H25+'88'!H25+'89'!H25+'90'!H25</f>
        <v>0</v>
      </c>
      <c r="I25" s="830">
        <f>+'86'!I25+'87'!I25+'88'!I25+'89'!I25+'90'!I25</f>
        <v>493</v>
      </c>
      <c r="J25" s="829">
        <f>+'86'!J25+'87'!J25+'88'!J25+'89'!J25+'90'!J25</f>
        <v>253</v>
      </c>
      <c r="K25" s="831">
        <f t="shared" si="1"/>
        <v>1180</v>
      </c>
      <c r="L25" s="829">
        <f>+'86'!L25+'87'!L25+'88'!L25+'89'!L25+'90'!L25</f>
        <v>914</v>
      </c>
      <c r="M25" s="829">
        <f>+'86'!M25+'87'!M25+'88'!M25+'89'!M25+'90'!M25</f>
        <v>253</v>
      </c>
      <c r="N25" s="829">
        <f>+'86'!N25+'87'!N25+'88'!N25+'89'!N25+'90'!N25</f>
        <v>5</v>
      </c>
      <c r="O25" s="831">
        <f t="shared" si="2"/>
        <v>1172</v>
      </c>
      <c r="P25" s="832">
        <f t="shared" si="3"/>
        <v>273</v>
      </c>
      <c r="Q25" s="829">
        <f>+'86'!Q25+'87'!Q25+'88'!Q25+'89'!Q25+'90'!Q25</f>
        <v>5</v>
      </c>
      <c r="R25" s="829">
        <f>+'86'!R25+'87'!R25+'88'!R25+'89'!R25+'90'!R25</f>
        <v>117320</v>
      </c>
      <c r="S25" s="829">
        <f>+'86'!S25+'87'!S25+'88'!S25+'89'!S25+'90'!S25</f>
        <v>114649</v>
      </c>
      <c r="T25" s="829">
        <f>+'86'!T25+'87'!T25+'88'!T25+'89'!T25+'90'!T25</f>
        <v>117506</v>
      </c>
      <c r="U25" s="829">
        <f>+'86'!U25+'87'!U25+'88'!U25+'89'!U25+'90'!U25</f>
        <v>117506</v>
      </c>
      <c r="V25" s="833">
        <f>S25/R25*100</f>
        <v>97.723320831912716</v>
      </c>
      <c r="W25" s="834">
        <f>+T25/O25</f>
        <v>100.26109215017065</v>
      </c>
      <c r="X25" s="835">
        <f>+O25/(R25/30.4)</f>
        <v>0.3036890555744971</v>
      </c>
      <c r="Y25" s="836">
        <f>(+R25-S25)/O25</f>
        <v>2.2790102389078499</v>
      </c>
      <c r="Z25" s="776"/>
      <c r="AA25" s="776"/>
    </row>
    <row r="26" spans="1:27" ht="15.75">
      <c r="A26" s="837" t="s">
        <v>188</v>
      </c>
      <c r="Z26" s="776"/>
      <c r="AA26" s="776"/>
    </row>
    <row r="27" spans="1:27" ht="15.75">
      <c r="Z27" s="776"/>
      <c r="AA27" s="776"/>
    </row>
    <row r="28" spans="1:27">
      <c r="O28" s="838"/>
    </row>
    <row r="29" spans="1:27">
      <c r="D29" s="839"/>
      <c r="O29" s="1081"/>
    </row>
    <row r="30" spans="1:27">
      <c r="D30" s="840"/>
    </row>
  </sheetData>
  <mergeCells count="2">
    <mergeCell ref="Q9:Q10"/>
    <mergeCell ref="E9:O9"/>
  </mergeCells>
  <phoneticPr fontId="57" type="noConversion"/>
  <printOptions horizontalCentered="1" verticalCentered="1" gridLinesSet="0"/>
  <pageMargins left="0.19685039370078741" right="0.78740157480314965" top="0.27559055118110237" bottom="0.23622047244094491" header="0.39370078740157483" footer="0.39370078740157483"/>
  <pageSetup paperSize="5" scale="73" orientation="landscape" horizontalDpi="300" verticalDpi="300" r:id="rId1"/>
  <headerFooter alignWithMargins="0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/>
  <dimension ref="A1:AA31"/>
  <sheetViews>
    <sheetView showGridLines="0" topLeftCell="A9" zoomScale="75" workbookViewId="0">
      <selection activeCell="P13" sqref="P13:P24"/>
    </sheetView>
  </sheetViews>
  <sheetFormatPr baseColWidth="10" defaultColWidth="12.5703125" defaultRowHeight="12.75"/>
  <cols>
    <col min="1" max="1" width="24" style="837" customWidth="1"/>
    <col min="2" max="2" width="9.85546875" style="837" customWidth="1"/>
    <col min="3" max="3" width="8.140625" style="837" customWidth="1"/>
    <col min="4" max="4" width="8.5703125" style="837" customWidth="1"/>
    <col min="5" max="9" width="8.140625" style="837" customWidth="1"/>
    <col min="10" max="10" width="7" style="837" customWidth="1"/>
    <col min="11" max="12" width="8.140625" style="837" customWidth="1"/>
    <col min="13" max="14" width="9.28515625" style="837" customWidth="1"/>
    <col min="15" max="17" width="8.140625" style="837" customWidth="1"/>
    <col min="18" max="19" width="9.5703125" style="837" customWidth="1"/>
    <col min="20" max="21" width="9.28515625" style="837" customWidth="1"/>
    <col min="22" max="22" width="8.28515625" style="837" customWidth="1"/>
    <col min="23" max="23" width="8.85546875" style="837" customWidth="1"/>
    <col min="24" max="25" width="8.5703125" style="837" customWidth="1"/>
    <col min="26" max="26" width="10.85546875" style="775" customWidth="1"/>
    <col min="27" max="27" width="9.28515625" style="775" customWidth="1"/>
    <col min="28" max="16384" width="12.5703125" style="775"/>
  </cols>
  <sheetData>
    <row r="1" spans="1:27">
      <c r="A1" s="772" t="s">
        <v>189</v>
      </c>
      <c r="B1" s="772"/>
      <c r="C1" s="773"/>
      <c r="D1" s="773"/>
      <c r="E1" s="773"/>
      <c r="F1" s="773"/>
      <c r="G1" s="773"/>
      <c r="H1" s="773"/>
      <c r="I1" s="773"/>
      <c r="J1" s="773"/>
      <c r="K1" s="774"/>
      <c r="L1" s="773"/>
      <c r="M1" s="773"/>
      <c r="N1" s="773"/>
      <c r="O1" s="773"/>
      <c r="P1" s="773"/>
      <c r="Q1" s="773"/>
      <c r="R1" s="773"/>
      <c r="S1" s="773"/>
      <c r="T1" s="773"/>
      <c r="U1" s="773"/>
      <c r="V1" s="773"/>
      <c r="W1" s="773"/>
      <c r="X1" s="773"/>
      <c r="Y1" s="773"/>
    </row>
    <row r="2" spans="1:27">
      <c r="A2" s="772"/>
      <c r="B2" s="772"/>
      <c r="C2" s="773"/>
      <c r="D2" s="773"/>
      <c r="E2" s="773"/>
      <c r="F2" s="773"/>
      <c r="G2" s="773"/>
      <c r="H2" s="773"/>
      <c r="I2" s="773"/>
      <c r="J2" s="773"/>
      <c r="K2" s="773"/>
      <c r="L2" s="773"/>
      <c r="M2" s="773"/>
      <c r="N2" s="773"/>
      <c r="O2" s="773"/>
      <c r="P2" s="773"/>
      <c r="Q2" s="773"/>
      <c r="R2" s="773"/>
      <c r="S2" s="773"/>
      <c r="T2" s="773"/>
      <c r="U2" s="773"/>
      <c r="V2" s="773"/>
      <c r="W2" s="773"/>
      <c r="X2" s="773"/>
      <c r="Y2" s="773"/>
    </row>
    <row r="3" spans="1:27">
      <c r="A3" s="772" t="str">
        <f>+'85'!A3</f>
        <v>SERVICIO DE SALUD   ACONCAGUA   2014</v>
      </c>
      <c r="B3" s="772"/>
      <c r="C3" s="773"/>
      <c r="D3" s="773"/>
      <c r="E3" s="773"/>
      <c r="F3" s="773"/>
      <c r="G3" s="773"/>
      <c r="H3" s="773"/>
      <c r="I3" s="773"/>
      <c r="J3" s="773"/>
      <c r="K3" s="773"/>
      <c r="L3" s="773"/>
      <c r="M3" s="773"/>
      <c r="N3" s="773"/>
      <c r="O3" s="773"/>
      <c r="P3" s="773"/>
      <c r="Q3" s="773"/>
      <c r="R3" s="773"/>
      <c r="S3" s="773"/>
      <c r="T3" s="773"/>
      <c r="U3" s="773"/>
      <c r="V3" s="773"/>
      <c r="W3" s="773"/>
      <c r="X3" s="773"/>
      <c r="Y3" s="773"/>
    </row>
    <row r="4" spans="1:27">
      <c r="A4" s="773"/>
      <c r="B4" s="773"/>
      <c r="C4" s="773"/>
      <c r="D4" s="773"/>
      <c r="E4" s="773"/>
      <c r="F4" s="773"/>
      <c r="G4" s="773"/>
      <c r="H4" s="773"/>
      <c r="I4" s="773"/>
      <c r="J4" s="773"/>
      <c r="K4" s="773"/>
      <c r="L4" s="773"/>
      <c r="M4" s="773"/>
      <c r="N4" s="773"/>
      <c r="O4" s="773"/>
      <c r="P4" s="773"/>
      <c r="Q4" s="773"/>
      <c r="R4" s="773"/>
      <c r="S4" s="773"/>
      <c r="T4" s="773"/>
      <c r="U4" s="773"/>
      <c r="V4" s="773"/>
      <c r="W4" s="773"/>
      <c r="X4" s="773"/>
      <c r="Y4" s="773"/>
    </row>
    <row r="5" spans="1:27">
      <c r="A5" s="773"/>
      <c r="B5" s="773"/>
      <c r="C5" s="773"/>
      <c r="D5" s="773"/>
      <c r="E5" s="773"/>
      <c r="F5" s="773"/>
      <c r="G5" s="773"/>
      <c r="H5" s="773"/>
      <c r="I5" s="773"/>
      <c r="J5" s="773"/>
      <c r="K5" s="773"/>
      <c r="L5" s="773"/>
      <c r="M5" s="773"/>
      <c r="N5" s="773"/>
      <c r="O5" s="773"/>
      <c r="P5" s="773"/>
      <c r="Q5" s="773"/>
      <c r="R5" s="773"/>
      <c r="S5" s="773"/>
      <c r="T5" s="773"/>
      <c r="U5" s="773"/>
      <c r="V5" s="773"/>
      <c r="W5" s="773"/>
      <c r="X5" s="773"/>
      <c r="Y5" s="773"/>
    </row>
    <row r="6" spans="1:27">
      <c r="A6" s="773"/>
      <c r="B6" s="773"/>
      <c r="C6" s="773"/>
      <c r="D6" s="773"/>
      <c r="E6" s="773"/>
      <c r="F6" s="773"/>
      <c r="G6" s="773"/>
      <c r="H6" s="773"/>
      <c r="I6" s="773"/>
      <c r="J6" s="773"/>
      <c r="K6" s="773"/>
      <c r="L6" s="773"/>
      <c r="M6" s="773"/>
      <c r="N6" s="773"/>
      <c r="O6" s="773"/>
      <c r="P6" s="773"/>
      <c r="Q6" s="773"/>
      <c r="R6" s="773"/>
      <c r="S6" s="773"/>
      <c r="T6" s="773"/>
      <c r="U6" s="773"/>
      <c r="V6" s="773"/>
      <c r="W6" s="773"/>
      <c r="X6" s="773"/>
      <c r="Y6" s="773"/>
    </row>
    <row r="7" spans="1:27">
      <c r="A7" s="773"/>
      <c r="B7" s="773"/>
      <c r="C7" s="773"/>
      <c r="D7" s="773"/>
      <c r="E7" s="773"/>
      <c r="F7" s="773"/>
      <c r="G7" s="773"/>
      <c r="H7" s="773"/>
      <c r="I7" s="773"/>
      <c r="J7" s="773"/>
      <c r="K7" s="773"/>
      <c r="L7" s="773"/>
      <c r="M7" s="773"/>
      <c r="N7" s="773"/>
      <c r="O7" s="773"/>
      <c r="P7" s="773"/>
      <c r="Q7" s="773"/>
      <c r="R7" s="773"/>
      <c r="S7" s="773"/>
      <c r="T7" s="773"/>
      <c r="U7" s="773"/>
      <c r="V7" s="773"/>
      <c r="W7" s="773"/>
      <c r="X7" s="773"/>
      <c r="Y7" s="773"/>
    </row>
    <row r="8" spans="1:27" ht="15.75">
      <c r="A8" s="777"/>
      <c r="B8" s="777"/>
      <c r="C8" s="777"/>
      <c r="D8" s="777"/>
      <c r="E8" s="777"/>
      <c r="F8" s="777"/>
      <c r="G8" s="777"/>
      <c r="H8" s="777"/>
      <c r="I8" s="777"/>
      <c r="J8" s="777"/>
      <c r="K8" s="777"/>
      <c r="L8" s="777"/>
      <c r="M8" s="777"/>
      <c r="N8" s="777"/>
      <c r="O8" s="777"/>
      <c r="P8" s="777"/>
      <c r="Q8" s="777"/>
      <c r="R8" s="777"/>
      <c r="S8" s="777"/>
      <c r="T8" s="777"/>
      <c r="U8" s="777"/>
      <c r="V8" s="777"/>
      <c r="W8" s="777"/>
      <c r="X8" s="777"/>
      <c r="Y8" s="777"/>
      <c r="Z8" s="776"/>
      <c r="AA8" s="776"/>
    </row>
    <row r="9" spans="1:27" s="788" customFormat="1" ht="21.75" customHeight="1">
      <c r="A9" s="778"/>
      <c r="B9" s="778"/>
      <c r="C9" s="779"/>
      <c r="D9" s="780"/>
      <c r="E9" s="1290" t="s">
        <v>153</v>
      </c>
      <c r="F9" s="1290"/>
      <c r="G9" s="1290"/>
      <c r="H9" s="1290"/>
      <c r="I9" s="1290"/>
      <c r="J9" s="1290"/>
      <c r="K9" s="1290"/>
      <c r="L9" s="1290"/>
      <c r="M9" s="1290"/>
      <c r="N9" s="1290"/>
      <c r="O9" s="1290"/>
      <c r="P9" s="781"/>
      <c r="Q9" s="1288" t="s">
        <v>154</v>
      </c>
      <c r="R9" s="782" t="s">
        <v>155</v>
      </c>
      <c r="S9" s="783"/>
      <c r="T9" s="784" t="s">
        <v>156</v>
      </c>
      <c r="U9" s="785"/>
      <c r="V9" s="782" t="s">
        <v>157</v>
      </c>
      <c r="W9" s="786"/>
      <c r="X9" s="786"/>
      <c r="Y9" s="783"/>
      <c r="Z9" s="787"/>
      <c r="AA9" s="787"/>
    </row>
    <row r="10" spans="1:27" s="788" customFormat="1" ht="19.5" customHeight="1">
      <c r="A10" s="789" t="s">
        <v>158</v>
      </c>
      <c r="B10" s="1189" t="s">
        <v>1472</v>
      </c>
      <c r="C10" s="790"/>
      <c r="D10" s="791" t="s">
        <v>159</v>
      </c>
      <c r="E10" s="792" t="s">
        <v>160</v>
      </c>
      <c r="F10" s="793"/>
      <c r="G10" s="793"/>
      <c r="H10" s="793"/>
      <c r="I10" s="793"/>
      <c r="J10" s="793"/>
      <c r="K10" s="794"/>
      <c r="L10" s="795" t="s">
        <v>161</v>
      </c>
      <c r="M10" s="795"/>
      <c r="N10" s="795"/>
      <c r="O10" s="795"/>
      <c r="P10" s="791" t="s">
        <v>159</v>
      </c>
      <c r="Q10" s="1289"/>
      <c r="R10" s="796"/>
      <c r="S10" s="797"/>
      <c r="T10" s="798"/>
      <c r="U10" s="798"/>
      <c r="V10" s="799"/>
      <c r="W10" s="800"/>
      <c r="X10" s="800"/>
      <c r="Y10" s="801"/>
      <c r="Z10" s="787"/>
      <c r="AA10" s="787"/>
    </row>
    <row r="11" spans="1:27" s="788" customFormat="1" ht="36" customHeight="1">
      <c r="A11" s="789" t="s">
        <v>162</v>
      </c>
      <c r="B11" s="1189" t="s">
        <v>1473</v>
      </c>
      <c r="C11" s="802" t="s">
        <v>163</v>
      </c>
      <c r="D11" s="802" t="s">
        <v>164</v>
      </c>
      <c r="E11" s="803" t="s">
        <v>1159</v>
      </c>
      <c r="F11" s="804" t="s">
        <v>1157</v>
      </c>
      <c r="G11" s="804" t="s">
        <v>165</v>
      </c>
      <c r="H11" s="805" t="s">
        <v>166</v>
      </c>
      <c r="I11" s="805" t="s">
        <v>167</v>
      </c>
      <c r="J11" s="806" t="s">
        <v>243</v>
      </c>
      <c r="K11" s="804" t="s">
        <v>571</v>
      </c>
      <c r="L11" s="807" t="s">
        <v>168</v>
      </c>
      <c r="M11" s="805" t="s">
        <v>169</v>
      </c>
      <c r="N11" s="808" t="s">
        <v>170</v>
      </c>
      <c r="O11" s="804" t="s">
        <v>571</v>
      </c>
      <c r="P11" s="802" t="s">
        <v>171</v>
      </c>
      <c r="Q11" s="809" t="s">
        <v>172</v>
      </c>
      <c r="R11" s="810" t="s">
        <v>173</v>
      </c>
      <c r="S11" s="804" t="s">
        <v>174</v>
      </c>
      <c r="T11" s="804" t="s">
        <v>571</v>
      </c>
      <c r="U11" s="811" t="s">
        <v>175</v>
      </c>
      <c r="V11" s="805" t="s">
        <v>176</v>
      </c>
      <c r="W11" s="805" t="s">
        <v>177</v>
      </c>
      <c r="X11" s="812" t="s">
        <v>178</v>
      </c>
      <c r="Y11" s="813" t="s">
        <v>179</v>
      </c>
      <c r="Z11" s="787"/>
      <c r="AA11" s="787"/>
    </row>
    <row r="12" spans="1:27" ht="24.75" customHeight="1">
      <c r="A12" s="814" t="s">
        <v>690</v>
      </c>
      <c r="B12" s="1191"/>
      <c r="C12" s="1188">
        <f>SUM(C13:C25)</f>
        <v>234</v>
      </c>
      <c r="D12" s="815">
        <f t="shared" ref="D12:U12" si="0">SUM(D13:D25)</f>
        <v>118</v>
      </c>
      <c r="E12" s="815">
        <f t="shared" si="0"/>
        <v>6268</v>
      </c>
      <c r="F12" s="815">
        <f t="shared" si="0"/>
        <v>0</v>
      </c>
      <c r="G12" s="815">
        <f t="shared" si="0"/>
        <v>3529</v>
      </c>
      <c r="H12" s="815">
        <f t="shared" si="0"/>
        <v>25</v>
      </c>
      <c r="I12" s="815">
        <f t="shared" si="0"/>
        <v>2129</v>
      </c>
      <c r="J12" s="815">
        <f t="shared" si="0"/>
        <v>2569</v>
      </c>
      <c r="K12" s="815">
        <f>SUM(K13:K25)-J12</f>
        <v>11951</v>
      </c>
      <c r="L12" s="815">
        <f t="shared" si="0"/>
        <v>11548</v>
      </c>
      <c r="M12" s="815">
        <f t="shared" si="0"/>
        <v>2568</v>
      </c>
      <c r="N12" s="815">
        <f t="shared" si="0"/>
        <v>400</v>
      </c>
      <c r="O12" s="816">
        <f>L12+N12</f>
        <v>11948</v>
      </c>
      <c r="P12" s="815">
        <f t="shared" si="0"/>
        <v>122</v>
      </c>
      <c r="Q12" s="815">
        <f t="shared" si="0"/>
        <v>791</v>
      </c>
      <c r="R12" s="815">
        <f t="shared" si="0"/>
        <v>84867</v>
      </c>
      <c r="S12" s="815">
        <f t="shared" si="0"/>
        <v>59321</v>
      </c>
      <c r="T12" s="815">
        <f t="shared" si="0"/>
        <v>60824</v>
      </c>
      <c r="U12" s="815">
        <f t="shared" si="0"/>
        <v>56322</v>
      </c>
      <c r="V12" s="817">
        <f>S12/R12*100</f>
        <v>69.898782801324415</v>
      </c>
      <c r="W12" s="818">
        <f>+T12/O12</f>
        <v>5.0907264814194848</v>
      </c>
      <c r="X12" s="819">
        <f>+O12/(R12/30.4)</f>
        <v>4.2798637868665086</v>
      </c>
      <c r="Y12" s="820">
        <f>(+R12-S12)/O12</f>
        <v>2.1380984265148979</v>
      </c>
      <c r="Z12" s="776"/>
      <c r="AA12" s="776"/>
    </row>
    <row r="13" spans="1:27" ht="24.75" customHeight="1">
      <c r="A13" s="1184" t="s">
        <v>1474</v>
      </c>
      <c r="B13" s="789">
        <v>403</v>
      </c>
      <c r="C13" s="1185">
        <v>110</v>
      </c>
      <c r="D13" s="842">
        <v>65</v>
      </c>
      <c r="E13" s="1185">
        <v>3235</v>
      </c>
      <c r="F13" s="842"/>
      <c r="G13" s="842">
        <v>2158</v>
      </c>
      <c r="H13" s="842">
        <v>1</v>
      </c>
      <c r="I13" s="842">
        <v>35</v>
      </c>
      <c r="J13" s="842">
        <v>701</v>
      </c>
      <c r="K13" s="842">
        <v>6130</v>
      </c>
      <c r="L13" s="842">
        <v>5364</v>
      </c>
      <c r="M13" s="842">
        <v>523</v>
      </c>
      <c r="N13" s="842">
        <v>237</v>
      </c>
      <c r="O13" s="842">
        <v>6124</v>
      </c>
      <c r="P13" s="842">
        <v>71</v>
      </c>
      <c r="Q13" s="842">
        <v>91</v>
      </c>
      <c r="R13" s="842">
        <v>40147</v>
      </c>
      <c r="S13" s="842">
        <v>33075</v>
      </c>
      <c r="T13" s="842">
        <v>33118</v>
      </c>
      <c r="U13" s="841">
        <v>32669</v>
      </c>
      <c r="V13" s="817">
        <f t="shared" ref="V13" si="1">S13/R13*100</f>
        <v>82.384736094851419</v>
      </c>
      <c r="W13" s="818">
        <f t="shared" ref="W13" si="2">+T13/O13</f>
        <v>5.4079033311561071</v>
      </c>
      <c r="X13" s="819">
        <f t="shared" ref="X13" si="3">+O13/(R13/30.4)</f>
        <v>4.6371982962612401</v>
      </c>
      <c r="Y13" s="820">
        <f t="shared" ref="Y13" si="4">(+R13-S13)/O13</f>
        <v>1.1548007838014369</v>
      </c>
      <c r="Z13" s="776"/>
      <c r="AA13" s="776"/>
    </row>
    <row r="14" spans="1:27" ht="24.75" customHeight="1">
      <c r="A14" s="1184" t="s">
        <v>1475</v>
      </c>
      <c r="B14" s="789">
        <v>404</v>
      </c>
      <c r="C14" s="1185"/>
      <c r="D14" s="842"/>
      <c r="E14" s="1185"/>
      <c r="F14" s="842"/>
      <c r="G14" s="842"/>
      <c r="H14" s="842"/>
      <c r="I14" s="842"/>
      <c r="J14" s="842"/>
      <c r="K14" s="842"/>
      <c r="L14" s="842"/>
      <c r="M14" s="842"/>
      <c r="N14" s="842"/>
      <c r="O14" s="842"/>
      <c r="P14" s="842"/>
      <c r="Q14" s="842"/>
      <c r="R14" s="842"/>
      <c r="S14" s="842"/>
      <c r="T14" s="842"/>
      <c r="U14" s="841"/>
      <c r="V14" s="817"/>
      <c r="W14" s="818"/>
      <c r="X14" s="819"/>
      <c r="Y14" s="820"/>
      <c r="Z14" s="776"/>
      <c r="AA14" s="776"/>
    </row>
    <row r="15" spans="1:27" ht="24.75" customHeight="1">
      <c r="A15" s="821" t="s">
        <v>180</v>
      </c>
      <c r="B15" s="789">
        <v>416</v>
      </c>
      <c r="C15" s="843">
        <v>40</v>
      </c>
      <c r="D15" s="823">
        <v>10</v>
      </c>
      <c r="E15" s="843">
        <v>1972</v>
      </c>
      <c r="F15" s="826"/>
      <c r="G15" s="826">
        <v>539</v>
      </c>
      <c r="H15" s="826"/>
      <c r="I15" s="826">
        <v>15</v>
      </c>
      <c r="J15" s="824">
        <v>386</v>
      </c>
      <c r="K15" s="816">
        <f t="shared" ref="K15:K24" si="5">SUM(E15:J15)</f>
        <v>2912</v>
      </c>
      <c r="L15" s="824">
        <v>2529</v>
      </c>
      <c r="M15" s="843">
        <v>376</v>
      </c>
      <c r="N15" s="824">
        <v>1</v>
      </c>
      <c r="O15" s="816">
        <f t="shared" ref="O15:O24" si="6">SUM(L15:N15)</f>
        <v>2906</v>
      </c>
      <c r="P15" s="825">
        <f t="shared" ref="P15:P24" si="7">SUM(D15,K15)-O15</f>
        <v>16</v>
      </c>
      <c r="Q15" s="824">
        <v>27</v>
      </c>
      <c r="R15" s="824">
        <v>14569</v>
      </c>
      <c r="S15" s="843">
        <v>9141</v>
      </c>
      <c r="T15" s="824">
        <v>9099</v>
      </c>
      <c r="U15" s="843">
        <v>9023</v>
      </c>
      <c r="V15" s="817">
        <f t="shared" ref="V15:V24" si="8">S15/R15*100</f>
        <v>62.742810076189173</v>
      </c>
      <c r="W15" s="818">
        <f t="shared" ref="W15:W24" si="9">+T15/O15</f>
        <v>3.1311080523055748</v>
      </c>
      <c r="X15" s="819">
        <f t="shared" ref="X15:X24" si="10">+O15/(R15/30.4)</f>
        <v>6.0637243462145642</v>
      </c>
      <c r="Y15" s="820">
        <f t="shared" ref="Y15:Y24" si="11">(+R15-S15)/O15</f>
        <v>1.8678596008258774</v>
      </c>
      <c r="Z15" s="776"/>
      <c r="AA15" s="776"/>
    </row>
    <row r="16" spans="1:27" ht="24.75" customHeight="1">
      <c r="A16" s="1184" t="s">
        <v>1476</v>
      </c>
      <c r="B16" s="789">
        <v>407</v>
      </c>
      <c r="C16" s="843"/>
      <c r="D16" s="823"/>
      <c r="E16" s="843"/>
      <c r="F16" s="824"/>
      <c r="G16" s="824"/>
      <c r="H16" s="824"/>
      <c r="I16" s="824"/>
      <c r="J16" s="824"/>
      <c r="K16" s="816"/>
      <c r="L16" s="824"/>
      <c r="M16" s="843"/>
      <c r="N16" s="824"/>
      <c r="O16" s="816"/>
      <c r="P16" s="825"/>
      <c r="Q16" s="824"/>
      <c r="R16" s="824"/>
      <c r="S16" s="843"/>
      <c r="T16" s="824"/>
      <c r="U16" s="843"/>
      <c r="V16" s="817"/>
      <c r="W16" s="818"/>
      <c r="X16" s="819"/>
      <c r="Y16" s="820"/>
      <c r="Z16" s="776"/>
      <c r="AA16" s="776"/>
    </row>
    <row r="17" spans="1:27" ht="24.75" customHeight="1">
      <c r="A17" s="1184" t="s">
        <v>1477</v>
      </c>
      <c r="B17" s="789">
        <v>409</v>
      </c>
      <c r="C17" s="843">
        <v>30</v>
      </c>
      <c r="D17" s="823">
        <v>8</v>
      </c>
      <c r="E17" s="843">
        <v>460</v>
      </c>
      <c r="F17" s="824"/>
      <c r="G17" s="824">
        <v>759</v>
      </c>
      <c r="H17" s="824"/>
      <c r="I17" s="824">
        <v>30</v>
      </c>
      <c r="J17" s="824">
        <v>304</v>
      </c>
      <c r="K17" s="816">
        <f t="shared" ref="K17" si="12">SUM(E17:J17)</f>
        <v>1553</v>
      </c>
      <c r="L17" s="824">
        <v>1362</v>
      </c>
      <c r="M17" s="843">
        <v>190</v>
      </c>
      <c r="N17" s="824">
        <v>2</v>
      </c>
      <c r="O17" s="816">
        <f t="shared" ref="O17" si="13">SUM(L17:N17)</f>
        <v>1554</v>
      </c>
      <c r="P17" s="825">
        <f t="shared" ref="P17" si="14">SUM(D17,K17)-O17</f>
        <v>7</v>
      </c>
      <c r="Q17" s="824">
        <v>507</v>
      </c>
      <c r="R17" s="824">
        <v>10441</v>
      </c>
      <c r="S17" s="843">
        <v>4064</v>
      </c>
      <c r="T17" s="824">
        <v>5161</v>
      </c>
      <c r="U17" s="843">
        <v>5080</v>
      </c>
      <c r="V17" s="817">
        <f t="shared" ref="V17" si="15">S17/R17*100</f>
        <v>38.923474762953738</v>
      </c>
      <c r="W17" s="818">
        <f t="shared" ref="W17" si="16">+T17/O17</f>
        <v>3.3211068211068211</v>
      </c>
      <c r="X17" s="819">
        <f t="shared" ref="X17" si="17">+O17/(R17/30.4)</f>
        <v>4.5246240781534341</v>
      </c>
      <c r="Y17" s="820">
        <f t="shared" ref="Y17" si="18">(+R17-S17)/O17</f>
        <v>4.1036036036036032</v>
      </c>
      <c r="Z17" s="776"/>
      <c r="AA17" s="776"/>
    </row>
    <row r="18" spans="1:27" ht="24.75" customHeight="1">
      <c r="A18" s="821" t="s">
        <v>181</v>
      </c>
      <c r="B18" s="789">
        <v>413</v>
      </c>
      <c r="C18" s="843">
        <v>8</v>
      </c>
      <c r="D18" s="823">
        <v>7</v>
      </c>
      <c r="E18" s="843">
        <v>11</v>
      </c>
      <c r="F18" s="824"/>
      <c r="G18" s="824">
        <v>9</v>
      </c>
      <c r="H18" s="824">
        <v>1</v>
      </c>
      <c r="I18" s="824">
        <v>82</v>
      </c>
      <c r="J18" s="824">
        <v>173</v>
      </c>
      <c r="K18" s="816">
        <f t="shared" si="5"/>
        <v>276</v>
      </c>
      <c r="L18" s="824">
        <v>256</v>
      </c>
      <c r="M18" s="843">
        <v>22</v>
      </c>
      <c r="N18" s="824"/>
      <c r="O18" s="816">
        <f t="shared" si="6"/>
        <v>278</v>
      </c>
      <c r="P18" s="825">
        <f t="shared" si="7"/>
        <v>5</v>
      </c>
      <c r="Q18" s="824">
        <v>2</v>
      </c>
      <c r="R18" s="824">
        <v>2920</v>
      </c>
      <c r="S18" s="843">
        <v>1674</v>
      </c>
      <c r="T18" s="824">
        <v>1638</v>
      </c>
      <c r="U18" s="843">
        <v>1618</v>
      </c>
      <c r="V18" s="817">
        <f t="shared" si="8"/>
        <v>57.328767123287669</v>
      </c>
      <c r="W18" s="818">
        <f t="shared" si="9"/>
        <v>5.8920863309352516</v>
      </c>
      <c r="X18" s="819">
        <f t="shared" si="10"/>
        <v>2.8942465753424655</v>
      </c>
      <c r="Y18" s="820">
        <f t="shared" si="11"/>
        <v>4.4820143884892083</v>
      </c>
      <c r="Z18" s="776"/>
      <c r="AA18" s="776"/>
    </row>
    <row r="19" spans="1:27" ht="24.75" customHeight="1">
      <c r="A19" s="1184" t="s">
        <v>1469</v>
      </c>
      <c r="B19" s="1189">
        <v>412</v>
      </c>
      <c r="C19" s="843">
        <v>6</v>
      </c>
      <c r="D19" s="823">
        <v>2</v>
      </c>
      <c r="E19" s="843">
        <v>172</v>
      </c>
      <c r="F19" s="824"/>
      <c r="G19" s="824">
        <v>6</v>
      </c>
      <c r="H19" s="824">
        <v>3</v>
      </c>
      <c r="I19" s="824">
        <v>30</v>
      </c>
      <c r="J19" s="824">
        <v>60</v>
      </c>
      <c r="K19" s="816">
        <f t="shared" si="5"/>
        <v>271</v>
      </c>
      <c r="L19" s="824">
        <v>80</v>
      </c>
      <c r="M19" s="843">
        <v>188</v>
      </c>
      <c r="N19" s="824">
        <v>5</v>
      </c>
      <c r="O19" s="816">
        <f t="shared" si="6"/>
        <v>273</v>
      </c>
      <c r="P19" s="825">
        <f t="shared" si="7"/>
        <v>0</v>
      </c>
      <c r="Q19" s="824">
        <v>26</v>
      </c>
      <c r="R19" s="824">
        <v>2190</v>
      </c>
      <c r="S19" s="843">
        <v>1241</v>
      </c>
      <c r="T19" s="824">
        <v>1385</v>
      </c>
      <c r="U19" s="843">
        <v>1371</v>
      </c>
      <c r="V19" s="817">
        <f t="shared" ref="V19" si="19">S19/R19*100</f>
        <v>56.666666666666664</v>
      </c>
      <c r="W19" s="818">
        <f t="shared" ref="W19" si="20">+T19/O19</f>
        <v>5.073260073260073</v>
      </c>
      <c r="X19" s="819">
        <f t="shared" ref="X19" si="21">+O19/(R19/30.4)</f>
        <v>3.7895890410958901</v>
      </c>
      <c r="Y19" s="820">
        <f t="shared" ref="Y19" si="22">(+R19-S19)/O19</f>
        <v>3.4761904761904763</v>
      </c>
      <c r="Z19" s="776"/>
      <c r="AA19" s="776"/>
    </row>
    <row r="20" spans="1:27" ht="24.75" customHeight="1">
      <c r="A20" s="821" t="s">
        <v>182</v>
      </c>
      <c r="B20" s="789">
        <v>414</v>
      </c>
      <c r="C20" s="843">
        <v>5</v>
      </c>
      <c r="D20" s="823">
        <v>5</v>
      </c>
      <c r="E20" s="843"/>
      <c r="F20" s="824"/>
      <c r="G20" s="824">
        <v>13</v>
      </c>
      <c r="H20" s="824">
        <v>7</v>
      </c>
      <c r="I20" s="824">
        <v>105</v>
      </c>
      <c r="J20" s="824">
        <v>41</v>
      </c>
      <c r="K20" s="816">
        <f t="shared" si="5"/>
        <v>166</v>
      </c>
      <c r="L20" s="824">
        <v>17</v>
      </c>
      <c r="M20" s="843">
        <v>139</v>
      </c>
      <c r="N20" s="824">
        <v>12</v>
      </c>
      <c r="O20" s="816">
        <f t="shared" si="6"/>
        <v>168</v>
      </c>
      <c r="P20" s="825">
        <f t="shared" si="7"/>
        <v>3</v>
      </c>
      <c r="Q20" s="824">
        <v>1</v>
      </c>
      <c r="R20" s="824">
        <v>1825</v>
      </c>
      <c r="S20" s="843">
        <v>1570</v>
      </c>
      <c r="T20" s="824">
        <v>1638</v>
      </c>
      <c r="U20" s="843">
        <v>1638</v>
      </c>
      <c r="V20" s="817">
        <f t="shared" si="8"/>
        <v>86.027397260273972</v>
      </c>
      <c r="W20" s="818">
        <f t="shared" si="9"/>
        <v>9.75</v>
      </c>
      <c r="X20" s="819">
        <f t="shared" si="10"/>
        <v>2.7984657534246575</v>
      </c>
      <c r="Y20" s="820">
        <f t="shared" si="11"/>
        <v>1.5178571428571428</v>
      </c>
      <c r="Z20" s="776"/>
      <c r="AA20" s="776"/>
    </row>
    <row r="21" spans="1:27" ht="24.75" customHeight="1">
      <c r="A21" s="821" t="s">
        <v>183</v>
      </c>
      <c r="B21" s="789">
        <v>405</v>
      </c>
      <c r="C21" s="843">
        <v>6</v>
      </c>
      <c r="D21" s="823">
        <v>3</v>
      </c>
      <c r="E21" s="843">
        <v>83</v>
      </c>
      <c r="F21" s="824"/>
      <c r="G21" s="824">
        <v>2</v>
      </c>
      <c r="H21" s="824">
        <v>8</v>
      </c>
      <c r="I21" s="824">
        <v>59</v>
      </c>
      <c r="J21" s="824">
        <v>127</v>
      </c>
      <c r="K21" s="816">
        <f t="shared" si="5"/>
        <v>279</v>
      </c>
      <c r="L21" s="824">
        <v>36</v>
      </c>
      <c r="M21" s="843">
        <v>155</v>
      </c>
      <c r="N21" s="824">
        <v>86</v>
      </c>
      <c r="O21" s="816">
        <f>SUM(L21:N21)</f>
        <v>277</v>
      </c>
      <c r="P21" s="825">
        <f t="shared" si="7"/>
        <v>5</v>
      </c>
      <c r="Q21" s="824">
        <v>12</v>
      </c>
      <c r="R21" s="824">
        <v>2178</v>
      </c>
      <c r="S21" s="843">
        <v>1854</v>
      </c>
      <c r="T21" s="824">
        <v>1916</v>
      </c>
      <c r="U21" s="843">
        <v>1858</v>
      </c>
      <c r="V21" s="817">
        <f t="shared" si="8"/>
        <v>85.123966942148769</v>
      </c>
      <c r="W21" s="818">
        <f t="shared" si="9"/>
        <v>6.9169675090252705</v>
      </c>
      <c r="X21" s="819">
        <f t="shared" si="10"/>
        <v>3.8662993572084483</v>
      </c>
      <c r="Y21" s="820">
        <f t="shared" si="11"/>
        <v>1.1696750902527075</v>
      </c>
      <c r="Z21" s="776"/>
      <c r="AA21" s="776"/>
    </row>
    <row r="22" spans="1:27" ht="24.75" customHeight="1">
      <c r="A22" s="821" t="s">
        <v>184</v>
      </c>
      <c r="B22" s="789">
        <v>406</v>
      </c>
      <c r="C22" s="843">
        <v>6</v>
      </c>
      <c r="D22" s="823">
        <v>4</v>
      </c>
      <c r="E22" s="843">
        <v>172</v>
      </c>
      <c r="F22" s="824"/>
      <c r="G22" s="824">
        <v>13</v>
      </c>
      <c r="H22" s="824">
        <v>3</v>
      </c>
      <c r="I22" s="824">
        <v>29</v>
      </c>
      <c r="J22" s="824">
        <v>248</v>
      </c>
      <c r="K22" s="816">
        <f t="shared" si="5"/>
        <v>465</v>
      </c>
      <c r="L22" s="824">
        <v>69</v>
      </c>
      <c r="M22" s="843">
        <v>356</v>
      </c>
      <c r="N22" s="824">
        <v>39</v>
      </c>
      <c r="O22" s="816">
        <f>SUM(L22:N22)</f>
        <v>464</v>
      </c>
      <c r="P22" s="825">
        <f t="shared" si="7"/>
        <v>5</v>
      </c>
      <c r="Q22" s="824">
        <v>6</v>
      </c>
      <c r="R22" s="824">
        <v>2184</v>
      </c>
      <c r="S22" s="843">
        <v>1860</v>
      </c>
      <c r="T22" s="824">
        <v>1834</v>
      </c>
      <c r="U22" s="843">
        <v>1794</v>
      </c>
      <c r="V22" s="817">
        <f t="shared" si="8"/>
        <v>85.164835164835168</v>
      </c>
      <c r="W22" s="818">
        <f t="shared" si="9"/>
        <v>3.9525862068965516</v>
      </c>
      <c r="X22" s="819">
        <f t="shared" si="10"/>
        <v>6.4586080586080579</v>
      </c>
      <c r="Y22" s="820">
        <f t="shared" si="11"/>
        <v>0.69827586206896552</v>
      </c>
      <c r="Z22" s="776"/>
      <c r="AA22" s="776"/>
    </row>
    <row r="23" spans="1:27" ht="24.75" customHeight="1">
      <c r="A23" s="821" t="s">
        <v>843</v>
      </c>
      <c r="B23" s="789">
        <v>415</v>
      </c>
      <c r="C23" s="843">
        <v>6</v>
      </c>
      <c r="D23" s="823">
        <v>5</v>
      </c>
      <c r="E23" s="843">
        <v>2</v>
      </c>
      <c r="F23" s="824"/>
      <c r="G23" s="824">
        <v>21</v>
      </c>
      <c r="H23" s="824">
        <v>2</v>
      </c>
      <c r="I23" s="824">
        <v>91</v>
      </c>
      <c r="J23" s="824">
        <v>127</v>
      </c>
      <c r="K23" s="816">
        <f t="shared" si="5"/>
        <v>243</v>
      </c>
      <c r="L23" s="824">
        <v>55</v>
      </c>
      <c r="M23" s="843">
        <v>184</v>
      </c>
      <c r="N23" s="824">
        <v>5</v>
      </c>
      <c r="O23" s="816">
        <f>SUM(L23:N23)</f>
        <v>244</v>
      </c>
      <c r="P23" s="825">
        <f>SUM(D23,K23)-O23</f>
        <v>4</v>
      </c>
      <c r="Q23" s="824">
        <v>5</v>
      </c>
      <c r="R23" s="824">
        <v>2208</v>
      </c>
      <c r="S23" s="843">
        <v>1211</v>
      </c>
      <c r="T23" s="824">
        <v>1284</v>
      </c>
      <c r="U23" s="843">
        <v>1271</v>
      </c>
      <c r="V23" s="817">
        <f t="shared" si="8"/>
        <v>54.846014492753625</v>
      </c>
      <c r="W23" s="818">
        <f t="shared" si="9"/>
        <v>5.2622950819672134</v>
      </c>
      <c r="X23" s="819">
        <f t="shared" si="10"/>
        <v>3.3594202898550725</v>
      </c>
      <c r="Y23" s="820">
        <f t="shared" si="11"/>
        <v>4.0860655737704921</v>
      </c>
      <c r="Z23" s="776"/>
      <c r="AA23" s="776"/>
    </row>
    <row r="24" spans="1:27" ht="24.75" customHeight="1">
      <c r="A24" s="821" t="s">
        <v>185</v>
      </c>
      <c r="B24" s="789">
        <v>330</v>
      </c>
      <c r="C24" s="843">
        <v>17</v>
      </c>
      <c r="D24" s="823">
        <v>9</v>
      </c>
      <c r="E24" s="843">
        <v>161</v>
      </c>
      <c r="F24" s="824"/>
      <c r="G24" s="824">
        <v>9</v>
      </c>
      <c r="H24" s="824"/>
      <c r="I24" s="824">
        <v>1653</v>
      </c>
      <c r="J24" s="824">
        <v>402</v>
      </c>
      <c r="K24" s="816">
        <f t="shared" si="5"/>
        <v>2225</v>
      </c>
      <c r="L24" s="824">
        <v>1780</v>
      </c>
      <c r="M24" s="843">
        <v>435</v>
      </c>
      <c r="N24" s="824">
        <v>13</v>
      </c>
      <c r="O24" s="816">
        <f t="shared" si="6"/>
        <v>2228</v>
      </c>
      <c r="P24" s="825">
        <f t="shared" si="7"/>
        <v>6</v>
      </c>
      <c r="Q24" s="824">
        <v>114</v>
      </c>
      <c r="R24" s="824">
        <v>6205</v>
      </c>
      <c r="S24" s="843">
        <v>3631</v>
      </c>
      <c r="T24" s="824">
        <v>3751</v>
      </c>
      <c r="U24" s="843"/>
      <c r="V24" s="817">
        <f t="shared" si="8"/>
        <v>58.517324738114432</v>
      </c>
      <c r="W24" s="818">
        <f t="shared" si="9"/>
        <v>1.6835727109515259</v>
      </c>
      <c r="X24" s="819">
        <f t="shared" si="10"/>
        <v>10.915584206285253</v>
      </c>
      <c r="Y24" s="820">
        <f t="shared" si="11"/>
        <v>1.1552962298025136</v>
      </c>
      <c r="Z24" s="776"/>
      <c r="AA24" s="776"/>
    </row>
    <row r="25" spans="1:27" ht="24.75" customHeight="1">
      <c r="A25" s="827" t="s">
        <v>1076</v>
      </c>
      <c r="B25" s="827"/>
      <c r="C25" s="828"/>
      <c r="D25" s="829"/>
      <c r="E25" s="828"/>
      <c r="F25" s="830"/>
      <c r="G25" s="830"/>
      <c r="H25" s="830"/>
      <c r="I25" s="830"/>
      <c r="J25" s="829"/>
      <c r="K25" s="831"/>
      <c r="L25" s="1116"/>
      <c r="M25" s="1115"/>
      <c r="N25" s="1116"/>
      <c r="O25" s="1117"/>
      <c r="P25" s="832"/>
      <c r="Q25" s="830"/>
      <c r="R25" s="844"/>
      <c r="S25" s="845"/>
      <c r="T25" s="844"/>
      <c r="U25" s="845"/>
      <c r="V25" s="833"/>
      <c r="W25" s="834"/>
      <c r="X25" s="835"/>
      <c r="Y25" s="836"/>
      <c r="Z25" s="776"/>
      <c r="AA25" s="776"/>
    </row>
    <row r="26" spans="1:27" ht="15.75">
      <c r="Z26" s="776"/>
      <c r="AA26" s="776"/>
    </row>
    <row r="27" spans="1:27" ht="15.75">
      <c r="Z27" s="776"/>
      <c r="AA27" s="776"/>
    </row>
    <row r="28" spans="1:27" ht="15.75">
      <c r="Z28" s="776"/>
      <c r="AA28" s="776"/>
    </row>
    <row r="29" spans="1:27">
      <c r="O29" s="838"/>
    </row>
    <row r="30" spans="1:27">
      <c r="D30" s="839"/>
    </row>
    <row r="31" spans="1:27">
      <c r="D31" s="840"/>
    </row>
  </sheetData>
  <mergeCells count="2">
    <mergeCell ref="Q9:Q10"/>
    <mergeCell ref="E9:O9"/>
  </mergeCells>
  <phoneticPr fontId="57" type="noConversion"/>
  <printOptions horizontalCentered="1" verticalCentered="1" gridLinesSet="0"/>
  <pageMargins left="0.98425196850393704" right="0.78740157480314965" top="0.27559055118110237" bottom="0.23622047244094491" header="0.39370078740157483" footer="0.39370078740157483"/>
  <pageSetup paperSize="5" scale="73" orientation="landscape" horizontalDpi="300" verticalDpi="300" r:id="rId1"/>
  <headerFooter alignWithMargins="0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/>
  <dimension ref="A1:AA31"/>
  <sheetViews>
    <sheetView showGridLines="0" zoomScale="75" workbookViewId="0">
      <selection activeCell="P13" sqref="P13"/>
    </sheetView>
  </sheetViews>
  <sheetFormatPr baseColWidth="10" defaultColWidth="12.5703125" defaultRowHeight="12.75"/>
  <cols>
    <col min="1" max="1" width="21.85546875" style="837" customWidth="1"/>
    <col min="2" max="2" width="9.5703125" style="837" customWidth="1"/>
    <col min="3" max="3" width="8.140625" style="837" customWidth="1"/>
    <col min="4" max="4" width="8.28515625" style="837" customWidth="1"/>
    <col min="5" max="9" width="8.140625" style="837" customWidth="1"/>
    <col min="10" max="10" width="7" style="837" customWidth="1"/>
    <col min="11" max="12" width="8.140625" style="837" customWidth="1"/>
    <col min="13" max="13" width="9.28515625" style="837" customWidth="1"/>
    <col min="14" max="14" width="8.85546875" style="837" customWidth="1"/>
    <col min="15" max="17" width="8.140625" style="837" customWidth="1"/>
    <col min="18" max="18" width="9.28515625" style="837" customWidth="1"/>
    <col min="19" max="21" width="10" style="837" customWidth="1"/>
    <col min="22" max="25" width="8.28515625" style="837" customWidth="1"/>
    <col min="26" max="26" width="10.85546875" style="775" customWidth="1"/>
    <col min="27" max="27" width="9.28515625" style="775" customWidth="1"/>
    <col min="28" max="16384" width="12.5703125" style="775"/>
  </cols>
  <sheetData>
    <row r="1" spans="1:27">
      <c r="A1" s="772" t="s">
        <v>190</v>
      </c>
      <c r="B1" s="772"/>
      <c r="C1" s="773"/>
      <c r="D1" s="773"/>
      <c r="E1" s="773"/>
      <c r="F1" s="773"/>
      <c r="G1" s="773"/>
      <c r="H1" s="773"/>
      <c r="I1" s="773"/>
      <c r="J1" s="773"/>
      <c r="K1" s="774"/>
      <c r="L1" s="773"/>
      <c r="M1" s="773"/>
      <c r="N1" s="773"/>
      <c r="O1" s="773"/>
      <c r="P1" s="773"/>
      <c r="Q1" s="773"/>
      <c r="R1" s="773"/>
      <c r="S1" s="773"/>
      <c r="T1" s="773"/>
      <c r="U1" s="773"/>
      <c r="V1" s="773"/>
      <c r="W1" s="773"/>
      <c r="X1" s="773"/>
      <c r="Y1" s="773"/>
    </row>
    <row r="2" spans="1:27">
      <c r="A2" s="772"/>
      <c r="B2" s="772"/>
      <c r="C2" s="773"/>
      <c r="D2" s="773"/>
      <c r="E2" s="773"/>
      <c r="F2" s="773"/>
      <c r="G2" s="773"/>
      <c r="H2" s="773"/>
      <c r="I2" s="773"/>
      <c r="J2" s="773"/>
      <c r="K2" s="773"/>
      <c r="L2" s="773"/>
      <c r="M2" s="773"/>
      <c r="N2" s="773"/>
      <c r="O2" s="773"/>
      <c r="P2" s="773"/>
      <c r="Q2" s="773"/>
      <c r="R2" s="773"/>
      <c r="S2" s="773"/>
      <c r="T2" s="773"/>
      <c r="U2" s="773"/>
      <c r="V2" s="773"/>
      <c r="W2" s="773"/>
      <c r="X2" s="773"/>
      <c r="Y2" s="773"/>
    </row>
    <row r="3" spans="1:27">
      <c r="A3" s="772" t="str">
        <f>+'86'!A3</f>
        <v>SERVICIO DE SALUD   ACONCAGUA   2014</v>
      </c>
      <c r="B3" s="772"/>
      <c r="C3" s="773"/>
      <c r="D3" s="773"/>
      <c r="E3" s="773"/>
      <c r="F3" s="773"/>
      <c r="G3" s="773"/>
      <c r="H3" s="773"/>
      <c r="I3" s="773"/>
      <c r="J3" s="773"/>
      <c r="K3" s="773"/>
      <c r="L3" s="773"/>
      <c r="M3" s="773"/>
      <c r="N3" s="773"/>
      <c r="O3" s="773"/>
      <c r="P3" s="773"/>
      <c r="Q3" s="773"/>
      <c r="R3" s="773"/>
      <c r="S3" s="773"/>
      <c r="T3" s="773"/>
      <c r="U3" s="773"/>
      <c r="V3" s="773"/>
      <c r="W3" s="773"/>
      <c r="X3" s="773"/>
      <c r="Y3" s="773"/>
    </row>
    <row r="4" spans="1:27">
      <c r="A4" s="773"/>
      <c r="B4" s="773"/>
      <c r="C4" s="773"/>
      <c r="D4" s="773"/>
      <c r="E4" s="773"/>
      <c r="F4" s="773"/>
      <c r="G4" s="773"/>
      <c r="H4" s="773"/>
      <c r="I4" s="773"/>
      <c r="J4" s="773"/>
      <c r="K4" s="773"/>
      <c r="L4" s="773"/>
      <c r="M4" s="773"/>
      <c r="N4" s="773"/>
      <c r="O4" s="773"/>
      <c r="P4" s="773"/>
      <c r="Q4" s="773"/>
      <c r="R4" s="773"/>
      <c r="S4" s="773"/>
      <c r="T4" s="773"/>
      <c r="U4" s="773"/>
      <c r="V4" s="773"/>
      <c r="W4" s="773"/>
      <c r="X4" s="773"/>
      <c r="Y4" s="773"/>
    </row>
    <row r="5" spans="1:27">
      <c r="A5" s="773"/>
      <c r="B5" s="773"/>
      <c r="C5" s="773"/>
      <c r="D5" s="773"/>
      <c r="E5" s="773"/>
      <c r="F5" s="773"/>
      <c r="G5" s="773"/>
      <c r="H5" s="773"/>
      <c r="I5" s="773"/>
      <c r="J5" s="773"/>
      <c r="K5" s="773"/>
      <c r="L5" s="773"/>
      <c r="M5" s="773"/>
      <c r="N5" s="773"/>
      <c r="O5" s="773"/>
      <c r="P5" s="773"/>
      <c r="Q5" s="773"/>
      <c r="R5" s="773"/>
      <c r="S5" s="773"/>
      <c r="T5" s="773"/>
      <c r="U5" s="773"/>
      <c r="V5" s="773"/>
      <c r="W5" s="773"/>
      <c r="X5" s="773"/>
      <c r="Y5" s="773"/>
    </row>
    <row r="6" spans="1:27">
      <c r="A6" s="773"/>
      <c r="B6" s="773"/>
      <c r="C6" s="773"/>
      <c r="D6" s="773"/>
      <c r="E6" s="773"/>
      <c r="F6" s="773"/>
      <c r="G6" s="773"/>
      <c r="H6" s="773"/>
      <c r="I6" s="773"/>
      <c r="J6" s="773"/>
      <c r="K6" s="773"/>
      <c r="L6" s="773"/>
      <c r="M6" s="773"/>
      <c r="N6" s="773"/>
      <c r="O6" s="773"/>
      <c r="P6" s="773"/>
      <c r="Q6" s="773"/>
      <c r="R6" s="773"/>
      <c r="S6" s="773"/>
      <c r="T6" s="773"/>
      <c r="U6" s="773"/>
      <c r="V6" s="773"/>
      <c r="W6" s="773"/>
      <c r="X6" s="773"/>
      <c r="Y6" s="773"/>
    </row>
    <row r="7" spans="1:27">
      <c r="A7" s="773"/>
      <c r="B7" s="773"/>
      <c r="C7" s="773"/>
      <c r="D7" s="773"/>
      <c r="E7" s="773"/>
      <c r="F7" s="773"/>
      <c r="G7" s="773"/>
      <c r="H7" s="773"/>
      <c r="I7" s="773"/>
      <c r="J7" s="773"/>
      <c r="K7" s="773"/>
      <c r="L7" s="773"/>
      <c r="M7" s="773"/>
      <c r="N7" s="773"/>
      <c r="O7" s="773"/>
      <c r="P7" s="773"/>
      <c r="Q7" s="773"/>
      <c r="R7" s="773"/>
      <c r="S7" s="773"/>
      <c r="T7" s="773"/>
      <c r="U7" s="773"/>
      <c r="V7" s="773"/>
      <c r="W7" s="773"/>
      <c r="X7" s="773"/>
      <c r="Y7" s="773"/>
    </row>
    <row r="8" spans="1:27" ht="15.75">
      <c r="A8" s="777"/>
      <c r="B8" s="777"/>
      <c r="C8" s="777"/>
      <c r="D8" s="777"/>
      <c r="E8" s="777"/>
      <c r="F8" s="777"/>
      <c r="G8" s="777"/>
      <c r="H8" s="777"/>
      <c r="I8" s="777"/>
      <c r="J8" s="777"/>
      <c r="K8" s="777"/>
      <c r="L8" s="777"/>
      <c r="M8" s="777"/>
      <c r="N8" s="777"/>
      <c r="O8" s="777"/>
      <c r="P8" s="777"/>
      <c r="Q8" s="777"/>
      <c r="R8" s="777"/>
      <c r="S8" s="777"/>
      <c r="T8" s="777"/>
      <c r="U8" s="777"/>
      <c r="V8" s="777"/>
      <c r="W8" s="777"/>
      <c r="X8" s="777"/>
      <c r="Y8" s="777"/>
      <c r="Z8" s="776"/>
      <c r="AA8" s="776"/>
    </row>
    <row r="9" spans="1:27" s="788" customFormat="1" ht="21.75" customHeight="1">
      <c r="A9" s="778"/>
      <c r="B9" s="1190"/>
      <c r="C9" s="779"/>
      <c r="D9" s="780"/>
      <c r="E9" s="1290" t="s">
        <v>153</v>
      </c>
      <c r="F9" s="1290"/>
      <c r="G9" s="1290"/>
      <c r="H9" s="1290"/>
      <c r="I9" s="1290"/>
      <c r="J9" s="1290"/>
      <c r="K9" s="1290"/>
      <c r="L9" s="1290"/>
      <c r="M9" s="1290"/>
      <c r="N9" s="1290"/>
      <c r="O9" s="1290"/>
      <c r="P9" s="781"/>
      <c r="Q9" s="1288" t="s">
        <v>154</v>
      </c>
      <c r="R9" s="782" t="s">
        <v>155</v>
      </c>
      <c r="S9" s="783"/>
      <c r="T9" s="784" t="s">
        <v>156</v>
      </c>
      <c r="U9" s="785"/>
      <c r="V9" s="782" t="s">
        <v>157</v>
      </c>
      <c r="W9" s="786"/>
      <c r="X9" s="786"/>
      <c r="Y9" s="783"/>
      <c r="Z9" s="787"/>
      <c r="AA9" s="787"/>
    </row>
    <row r="10" spans="1:27" s="788" customFormat="1" ht="19.5" customHeight="1">
      <c r="A10" s="789" t="s">
        <v>158</v>
      </c>
      <c r="B10" s="1189" t="s">
        <v>1472</v>
      </c>
      <c r="C10" s="790"/>
      <c r="D10" s="791" t="s">
        <v>159</v>
      </c>
      <c r="E10" s="792" t="s">
        <v>160</v>
      </c>
      <c r="F10" s="793"/>
      <c r="G10" s="793"/>
      <c r="H10" s="793"/>
      <c r="I10" s="793"/>
      <c r="J10" s="793"/>
      <c r="K10" s="794"/>
      <c r="L10" s="795" t="s">
        <v>161</v>
      </c>
      <c r="M10" s="795"/>
      <c r="N10" s="795"/>
      <c r="O10" s="795"/>
      <c r="P10" s="791" t="s">
        <v>159</v>
      </c>
      <c r="Q10" s="1289"/>
      <c r="R10" s="796"/>
      <c r="S10" s="797"/>
      <c r="T10" s="798"/>
      <c r="U10" s="798"/>
      <c r="V10" s="799"/>
      <c r="W10" s="800"/>
      <c r="X10" s="800"/>
      <c r="Y10" s="801"/>
      <c r="Z10" s="787"/>
      <c r="AA10" s="787"/>
    </row>
    <row r="11" spans="1:27" s="788" customFormat="1" ht="36" customHeight="1">
      <c r="A11" s="789" t="s">
        <v>162</v>
      </c>
      <c r="B11" s="1189" t="s">
        <v>1473</v>
      </c>
      <c r="C11" s="802" t="s">
        <v>163</v>
      </c>
      <c r="D11" s="802" t="s">
        <v>164</v>
      </c>
      <c r="E11" s="803" t="s">
        <v>1159</v>
      </c>
      <c r="F11" s="804" t="s">
        <v>1157</v>
      </c>
      <c r="G11" s="804" t="s">
        <v>165</v>
      </c>
      <c r="H11" s="805" t="s">
        <v>166</v>
      </c>
      <c r="I11" s="805" t="s">
        <v>167</v>
      </c>
      <c r="J11" s="806" t="s">
        <v>243</v>
      </c>
      <c r="K11" s="804" t="s">
        <v>571</v>
      </c>
      <c r="L11" s="807" t="s">
        <v>168</v>
      </c>
      <c r="M11" s="805" t="s">
        <v>169</v>
      </c>
      <c r="N11" s="808" t="s">
        <v>170</v>
      </c>
      <c r="O11" s="804" t="s">
        <v>571</v>
      </c>
      <c r="P11" s="802" t="s">
        <v>171</v>
      </c>
      <c r="Q11" s="809" t="s">
        <v>172</v>
      </c>
      <c r="R11" s="810" t="s">
        <v>173</v>
      </c>
      <c r="S11" s="804" t="s">
        <v>174</v>
      </c>
      <c r="T11" s="804" t="s">
        <v>571</v>
      </c>
      <c r="U11" s="811" t="s">
        <v>175</v>
      </c>
      <c r="V11" s="805" t="s">
        <v>176</v>
      </c>
      <c r="W11" s="805" t="s">
        <v>177</v>
      </c>
      <c r="X11" s="812" t="s">
        <v>178</v>
      </c>
      <c r="Y11" s="813" t="s">
        <v>179</v>
      </c>
      <c r="Z11" s="787"/>
      <c r="AA11" s="787"/>
    </row>
    <row r="12" spans="1:27" ht="23.25" customHeight="1">
      <c r="A12" s="814" t="s">
        <v>690</v>
      </c>
      <c r="B12" s="1191"/>
      <c r="C12" s="1188">
        <f>SUM(C13:C25)</f>
        <v>168</v>
      </c>
      <c r="D12" s="815">
        <f t="shared" ref="D12:U12" si="0">SUM(D13:D25)</f>
        <v>71</v>
      </c>
      <c r="E12" s="815">
        <f t="shared" si="0"/>
        <v>5601</v>
      </c>
      <c r="F12" s="815">
        <f t="shared" si="0"/>
        <v>20</v>
      </c>
      <c r="G12" s="815">
        <f t="shared" si="0"/>
        <v>2563</v>
      </c>
      <c r="H12" s="815">
        <f t="shared" si="0"/>
        <v>21</v>
      </c>
      <c r="I12" s="815">
        <f t="shared" si="0"/>
        <v>1455</v>
      </c>
      <c r="J12" s="815">
        <f t="shared" si="0"/>
        <v>2503</v>
      </c>
      <c r="K12" s="815">
        <f>SUM(K13:K25)-J12</f>
        <v>9660</v>
      </c>
      <c r="L12" s="815">
        <f t="shared" si="0"/>
        <v>9489</v>
      </c>
      <c r="M12" s="815">
        <f t="shared" si="0"/>
        <v>2503</v>
      </c>
      <c r="N12" s="815">
        <f t="shared" si="0"/>
        <v>182</v>
      </c>
      <c r="O12" s="816">
        <f>L12+N12</f>
        <v>9671</v>
      </c>
      <c r="P12" s="815">
        <f t="shared" si="0"/>
        <v>60</v>
      </c>
      <c r="Q12" s="815">
        <f t="shared" si="0"/>
        <v>677</v>
      </c>
      <c r="R12" s="815">
        <f t="shared" si="0"/>
        <v>58576</v>
      </c>
      <c r="S12" s="815">
        <f t="shared" si="0"/>
        <v>46110</v>
      </c>
      <c r="T12" s="815">
        <f t="shared" si="0"/>
        <v>45964</v>
      </c>
      <c r="U12" s="815">
        <f t="shared" si="0"/>
        <v>41511</v>
      </c>
      <c r="V12" s="817">
        <f>S12/R12*100</f>
        <v>78.718246380770282</v>
      </c>
      <c r="W12" s="818">
        <f>+T12/O12</f>
        <v>4.7527660014476272</v>
      </c>
      <c r="X12" s="819">
        <f>+O12/(R12/30.4)</f>
        <v>5.0190931439497408</v>
      </c>
      <c r="Y12" s="820">
        <f>(+R12-S12)/O12</f>
        <v>1.2890083755557853</v>
      </c>
      <c r="Z12" s="776"/>
      <c r="AA12" s="776"/>
    </row>
    <row r="13" spans="1:27" ht="23.25" customHeight="1">
      <c r="A13" s="1184" t="s">
        <v>1474</v>
      </c>
      <c r="B13" s="789">
        <v>403</v>
      </c>
      <c r="C13" s="841">
        <v>93</v>
      </c>
      <c r="D13" s="823">
        <v>40</v>
      </c>
      <c r="E13" s="843">
        <v>2357</v>
      </c>
      <c r="F13" s="824">
        <v>10</v>
      </c>
      <c r="G13" s="824">
        <v>1681</v>
      </c>
      <c r="H13" s="824">
        <v>14</v>
      </c>
      <c r="I13" s="824">
        <v>12</v>
      </c>
      <c r="J13" s="824">
        <v>1754</v>
      </c>
      <c r="K13" s="816">
        <f>SUM(E13:J13)</f>
        <v>5828</v>
      </c>
      <c r="L13" s="824">
        <v>4327</v>
      </c>
      <c r="M13" s="843">
        <v>1371</v>
      </c>
      <c r="N13" s="824">
        <v>128</v>
      </c>
      <c r="O13" s="841">
        <f>SUM(L13:N13)</f>
        <v>5826</v>
      </c>
      <c r="P13" s="825">
        <f>SUM(D13,K13)-O13</f>
        <v>42</v>
      </c>
      <c r="Q13" s="824">
        <v>192</v>
      </c>
      <c r="R13" s="826">
        <v>33619</v>
      </c>
      <c r="S13" s="843">
        <v>28426</v>
      </c>
      <c r="T13" s="824">
        <v>29097</v>
      </c>
      <c r="U13" s="843">
        <v>28473</v>
      </c>
      <c r="V13" s="817">
        <f>S13/R13*100</f>
        <v>84.553377554359145</v>
      </c>
      <c r="W13" s="818">
        <f>+T13/O13</f>
        <v>4.994335736354274</v>
      </c>
      <c r="X13" s="819">
        <f>+O13/(R13/30.4)</f>
        <v>5.2681638359261127</v>
      </c>
      <c r="Y13" s="820">
        <f>(+R13-S13)/O13</f>
        <v>0.89134912461380023</v>
      </c>
      <c r="Z13" s="776"/>
      <c r="AA13" s="776"/>
    </row>
    <row r="14" spans="1:27" ht="23.25" customHeight="1">
      <c r="A14" s="1184" t="s">
        <v>1475</v>
      </c>
      <c r="B14" s="789">
        <v>404</v>
      </c>
      <c r="C14" s="841">
        <v>12</v>
      </c>
      <c r="D14" s="823">
        <v>5</v>
      </c>
      <c r="E14" s="841">
        <v>729</v>
      </c>
      <c r="F14" s="842"/>
      <c r="G14" s="842">
        <v>104</v>
      </c>
      <c r="H14" s="842"/>
      <c r="I14" s="842">
        <v>1</v>
      </c>
      <c r="J14" s="842">
        <v>318</v>
      </c>
      <c r="K14" s="816">
        <f>SUM(E14:J14)</f>
        <v>1152</v>
      </c>
      <c r="L14" s="824">
        <v>597</v>
      </c>
      <c r="M14" s="843">
        <v>538</v>
      </c>
      <c r="N14" s="824">
        <v>16</v>
      </c>
      <c r="O14" s="841">
        <f>SUM(L14:N14)</f>
        <v>1151</v>
      </c>
      <c r="P14" s="825">
        <f>SUM(D14,K14)-O14</f>
        <v>6</v>
      </c>
      <c r="Q14" s="824">
        <v>62</v>
      </c>
      <c r="R14" s="826">
        <v>4706</v>
      </c>
      <c r="S14" s="843">
        <v>4763</v>
      </c>
      <c r="T14" s="824">
        <v>4016</v>
      </c>
      <c r="U14" s="843">
        <v>3566</v>
      </c>
      <c r="V14" s="817">
        <f>S14/R14*100</f>
        <v>101.21121971950701</v>
      </c>
      <c r="W14" s="818">
        <f>+T14/O14</f>
        <v>3.4891398783666379</v>
      </c>
      <c r="X14" s="819">
        <f>+O14/(R14/30.4)</f>
        <v>7.4352741181470465</v>
      </c>
      <c r="Y14" s="820">
        <f>(+R14-S14)/O14</f>
        <v>-4.9522154648132061E-2</v>
      </c>
      <c r="Z14" s="776"/>
      <c r="AA14" s="776"/>
    </row>
    <row r="15" spans="1:27" ht="23.25" customHeight="1">
      <c r="A15" s="821" t="s">
        <v>180</v>
      </c>
      <c r="B15" s="789">
        <v>416</v>
      </c>
      <c r="C15" s="843">
        <v>18</v>
      </c>
      <c r="D15" s="823">
        <v>12</v>
      </c>
      <c r="E15" s="843">
        <v>1328</v>
      </c>
      <c r="F15" s="826"/>
      <c r="G15" s="826">
        <v>492</v>
      </c>
      <c r="H15" s="826"/>
      <c r="I15" s="826">
        <v>55</v>
      </c>
      <c r="J15" s="824">
        <v>45</v>
      </c>
      <c r="K15" s="816">
        <f t="shared" ref="K15:K24" si="1">SUM(E15:J15)</f>
        <v>1920</v>
      </c>
      <c r="L15" s="824">
        <v>1754</v>
      </c>
      <c r="M15" s="843">
        <v>177</v>
      </c>
      <c r="N15" s="824"/>
      <c r="O15" s="816">
        <f t="shared" ref="O15:O24" si="2">SUM(L15:N15)</f>
        <v>1931</v>
      </c>
      <c r="P15" s="825">
        <f t="shared" ref="P15:P24" si="3">SUM(D15,K15)-O15</f>
        <v>1</v>
      </c>
      <c r="Q15" s="824">
        <v>127</v>
      </c>
      <c r="R15" s="824">
        <v>5729</v>
      </c>
      <c r="S15" s="843">
        <v>4564</v>
      </c>
      <c r="T15" s="824">
        <v>4488</v>
      </c>
      <c r="U15" s="843">
        <v>4489</v>
      </c>
      <c r="V15" s="817">
        <f t="shared" ref="V15:V24" si="4">S15/R15*100</f>
        <v>79.664862977832087</v>
      </c>
      <c r="W15" s="818">
        <f t="shared" ref="W15:W24" si="5">+T15/O15</f>
        <v>2.3241843604350079</v>
      </c>
      <c r="X15" s="819">
        <f t="shared" ref="X15:X24" si="6">+O15/(R15/30.4)</f>
        <v>10.246535171932274</v>
      </c>
      <c r="Y15" s="820">
        <f t="shared" ref="Y15:Y24" si="7">(+R15-S15)/O15</f>
        <v>0.60331434489901603</v>
      </c>
      <c r="Z15" s="776"/>
      <c r="AA15" s="776"/>
    </row>
    <row r="16" spans="1:27" ht="23.25" customHeight="1">
      <c r="A16" s="1184" t="s">
        <v>1476</v>
      </c>
      <c r="B16" s="789">
        <v>407</v>
      </c>
      <c r="C16" s="843">
        <v>17</v>
      </c>
      <c r="D16" s="823">
        <v>2</v>
      </c>
      <c r="E16" s="843">
        <v>636</v>
      </c>
      <c r="F16" s="824">
        <v>1</v>
      </c>
      <c r="G16" s="824">
        <v>154</v>
      </c>
      <c r="H16" s="824">
        <v>2</v>
      </c>
      <c r="I16" s="824">
        <v>3</v>
      </c>
      <c r="J16" s="824">
        <v>10</v>
      </c>
      <c r="K16" s="816">
        <f t="shared" si="1"/>
        <v>806</v>
      </c>
      <c r="L16" s="824">
        <v>802</v>
      </c>
      <c r="M16" s="843">
        <v>2</v>
      </c>
      <c r="N16" s="824">
        <v>1</v>
      </c>
      <c r="O16" s="816">
        <f t="shared" si="2"/>
        <v>805</v>
      </c>
      <c r="P16" s="825">
        <f t="shared" si="3"/>
        <v>3</v>
      </c>
      <c r="Q16" s="824">
        <v>135</v>
      </c>
      <c r="R16" s="824">
        <v>5873</v>
      </c>
      <c r="S16" s="843">
        <v>2435</v>
      </c>
      <c r="T16" s="824">
        <v>2437</v>
      </c>
      <c r="U16" s="843">
        <v>2358</v>
      </c>
      <c r="V16" s="817">
        <f t="shared" si="4"/>
        <v>41.460922867359102</v>
      </c>
      <c r="W16" s="818">
        <f t="shared" si="5"/>
        <v>3.0273291925465839</v>
      </c>
      <c r="X16" s="819">
        <f t="shared" si="6"/>
        <v>4.1668653158522044</v>
      </c>
      <c r="Y16" s="820">
        <f t="shared" si="7"/>
        <v>4.2708074534161486</v>
      </c>
      <c r="Z16" s="776"/>
      <c r="AA16" s="776"/>
    </row>
    <row r="17" spans="1:27" ht="23.25" customHeight="1">
      <c r="A17" s="1184" t="s">
        <v>1477</v>
      </c>
      <c r="B17" s="789">
        <v>409</v>
      </c>
      <c r="C17" s="843"/>
      <c r="D17" s="823"/>
      <c r="E17" s="843"/>
      <c r="F17" s="824"/>
      <c r="G17" s="824"/>
      <c r="H17" s="824"/>
      <c r="I17" s="824"/>
      <c r="J17" s="824"/>
      <c r="K17" s="816"/>
      <c r="L17" s="824"/>
      <c r="M17" s="843"/>
      <c r="N17" s="824"/>
      <c r="O17" s="816"/>
      <c r="P17" s="825"/>
      <c r="Q17" s="824"/>
      <c r="R17" s="824"/>
      <c r="S17" s="843"/>
      <c r="T17" s="824"/>
      <c r="U17" s="843"/>
      <c r="V17" s="817"/>
      <c r="W17" s="818"/>
      <c r="X17" s="819"/>
      <c r="Y17" s="820"/>
      <c r="Z17" s="776"/>
      <c r="AA17" s="776"/>
    </row>
    <row r="18" spans="1:27" ht="23.25" customHeight="1">
      <c r="A18" s="821" t="s">
        <v>181</v>
      </c>
      <c r="B18" s="789">
        <v>413</v>
      </c>
      <c r="C18" s="843">
        <v>10</v>
      </c>
      <c r="D18" s="823">
        <v>6</v>
      </c>
      <c r="E18" s="843">
        <v>192</v>
      </c>
      <c r="F18" s="824"/>
      <c r="G18" s="824">
        <v>107</v>
      </c>
      <c r="H18" s="824">
        <v>1</v>
      </c>
      <c r="I18" s="824">
        <v>26</v>
      </c>
      <c r="J18" s="824">
        <v>70</v>
      </c>
      <c r="K18" s="816">
        <f t="shared" si="1"/>
        <v>396</v>
      </c>
      <c r="L18" s="824">
        <v>328</v>
      </c>
      <c r="M18" s="843">
        <v>73</v>
      </c>
      <c r="N18" s="824">
        <v>0</v>
      </c>
      <c r="O18" s="816">
        <f t="shared" si="2"/>
        <v>401</v>
      </c>
      <c r="P18" s="825">
        <f t="shared" si="3"/>
        <v>1</v>
      </c>
      <c r="Q18" s="824">
        <v>23</v>
      </c>
      <c r="R18" s="824">
        <v>2077</v>
      </c>
      <c r="S18" s="843">
        <v>865</v>
      </c>
      <c r="T18" s="824">
        <v>875</v>
      </c>
      <c r="U18" s="843">
        <v>800</v>
      </c>
      <c r="V18" s="817">
        <f t="shared" si="4"/>
        <v>41.646605681271062</v>
      </c>
      <c r="W18" s="818">
        <f t="shared" si="5"/>
        <v>2.1820448877805485</v>
      </c>
      <c r="X18" s="819">
        <f t="shared" si="6"/>
        <v>5.869234472797304</v>
      </c>
      <c r="Y18" s="820">
        <f t="shared" si="7"/>
        <v>3.0224438902743143</v>
      </c>
      <c r="Z18" s="776"/>
      <c r="AA18" s="776"/>
    </row>
    <row r="19" spans="1:27" ht="23.25" customHeight="1">
      <c r="A19" s="1184" t="s">
        <v>1469</v>
      </c>
      <c r="B19" s="1189">
        <v>412</v>
      </c>
      <c r="C19" s="843"/>
      <c r="D19" s="823"/>
      <c r="E19" s="843"/>
      <c r="F19" s="824"/>
      <c r="G19" s="824"/>
      <c r="H19" s="824"/>
      <c r="I19" s="824"/>
      <c r="J19" s="824"/>
      <c r="K19" s="816">
        <f>SUM(E19:J19)</f>
        <v>0</v>
      </c>
      <c r="L19" s="824"/>
      <c r="M19" s="843"/>
      <c r="N19" s="824"/>
      <c r="O19" s="816">
        <f t="shared" si="2"/>
        <v>0</v>
      </c>
      <c r="P19" s="825">
        <f t="shared" si="3"/>
        <v>0</v>
      </c>
      <c r="Q19" s="824"/>
      <c r="R19" s="824"/>
      <c r="S19" s="843"/>
      <c r="T19" s="824"/>
      <c r="U19" s="843"/>
      <c r="V19" s="817"/>
      <c r="W19" s="818"/>
      <c r="X19" s="819"/>
      <c r="Y19" s="820"/>
      <c r="Z19" s="776"/>
      <c r="AA19" s="776"/>
    </row>
    <row r="20" spans="1:27" ht="23.25" customHeight="1">
      <c r="A20" s="821" t="s">
        <v>182</v>
      </c>
      <c r="B20" s="789">
        <v>414</v>
      </c>
      <c r="C20" s="843"/>
      <c r="D20" s="823"/>
      <c r="E20" s="843"/>
      <c r="F20" s="824"/>
      <c r="G20" s="824"/>
      <c r="H20" s="824"/>
      <c r="I20" s="824"/>
      <c r="J20" s="824"/>
      <c r="K20" s="816"/>
      <c r="L20" s="824"/>
      <c r="M20" s="843"/>
      <c r="N20" s="824"/>
      <c r="O20" s="816"/>
      <c r="P20" s="825"/>
      <c r="Q20" s="824"/>
      <c r="R20" s="824"/>
      <c r="S20" s="843"/>
      <c r="T20" s="824"/>
      <c r="U20" s="843"/>
      <c r="V20" s="817"/>
      <c r="W20" s="818"/>
      <c r="X20" s="819"/>
      <c r="Y20" s="820"/>
      <c r="Z20" s="776"/>
      <c r="AA20" s="776"/>
    </row>
    <row r="21" spans="1:27" ht="23.25" customHeight="1">
      <c r="A21" s="821" t="s">
        <v>183</v>
      </c>
      <c r="B21" s="789">
        <v>405</v>
      </c>
      <c r="C21" s="843"/>
      <c r="D21" s="823"/>
      <c r="E21" s="843"/>
      <c r="F21" s="824"/>
      <c r="G21" s="824"/>
      <c r="H21" s="824"/>
      <c r="I21" s="824"/>
      <c r="J21" s="824"/>
      <c r="K21" s="816"/>
      <c r="L21" s="824"/>
      <c r="M21" s="843"/>
      <c r="N21" s="824"/>
      <c r="O21" s="816"/>
      <c r="P21" s="825"/>
      <c r="Q21" s="824"/>
      <c r="R21" s="824"/>
      <c r="S21" s="843"/>
      <c r="T21" s="824"/>
      <c r="U21" s="843"/>
      <c r="V21" s="817"/>
      <c r="W21" s="818"/>
      <c r="X21" s="819"/>
      <c r="Y21" s="820"/>
      <c r="Z21" s="776"/>
      <c r="AA21" s="776"/>
    </row>
    <row r="22" spans="1:27" ht="23.25" customHeight="1">
      <c r="A22" s="821" t="s">
        <v>184</v>
      </c>
      <c r="B22" s="789">
        <v>406</v>
      </c>
      <c r="C22" s="843">
        <v>6</v>
      </c>
      <c r="D22" s="823">
        <v>6</v>
      </c>
      <c r="E22" s="843">
        <v>248</v>
      </c>
      <c r="F22" s="824"/>
      <c r="G22" s="824">
        <v>11</v>
      </c>
      <c r="H22" s="824">
        <v>3</v>
      </c>
      <c r="I22" s="824"/>
      <c r="J22" s="824">
        <v>131</v>
      </c>
      <c r="K22" s="816">
        <f t="shared" si="1"/>
        <v>393</v>
      </c>
      <c r="L22" s="824">
        <v>77</v>
      </c>
      <c r="M22" s="843">
        <v>281</v>
      </c>
      <c r="N22" s="824">
        <v>37</v>
      </c>
      <c r="O22" s="816">
        <f t="shared" si="2"/>
        <v>395</v>
      </c>
      <c r="P22" s="825">
        <f t="shared" si="3"/>
        <v>4</v>
      </c>
      <c r="Q22" s="824">
        <v>9</v>
      </c>
      <c r="R22" s="824">
        <v>2190</v>
      </c>
      <c r="S22" s="843">
        <v>1946</v>
      </c>
      <c r="T22" s="824">
        <v>1940</v>
      </c>
      <c r="U22" s="843">
        <v>1825</v>
      </c>
      <c r="V22" s="817">
        <f t="shared" si="4"/>
        <v>88.858447488584474</v>
      </c>
      <c r="W22" s="818">
        <f t="shared" si="5"/>
        <v>4.9113924050632916</v>
      </c>
      <c r="X22" s="819">
        <f t="shared" si="6"/>
        <v>5.4831050228310492</v>
      </c>
      <c r="Y22" s="820">
        <f t="shared" si="7"/>
        <v>0.61772151898734173</v>
      </c>
      <c r="Z22" s="776"/>
      <c r="AA22" s="776"/>
    </row>
    <row r="23" spans="1:27" ht="23.25" customHeight="1">
      <c r="A23" s="821" t="s">
        <v>843</v>
      </c>
      <c r="B23" s="789">
        <v>415</v>
      </c>
      <c r="C23" s="843"/>
      <c r="D23" s="823"/>
      <c r="E23" s="843"/>
      <c r="F23" s="824"/>
      <c r="G23" s="824"/>
      <c r="H23" s="824"/>
      <c r="I23" s="824"/>
      <c r="J23" s="824"/>
      <c r="K23" s="816"/>
      <c r="L23" s="824"/>
      <c r="M23" s="843"/>
      <c r="N23" s="824"/>
      <c r="O23" s="816"/>
      <c r="P23" s="825"/>
      <c r="Q23" s="824"/>
      <c r="R23" s="824"/>
      <c r="S23" s="843"/>
      <c r="T23" s="824"/>
      <c r="U23" s="843"/>
      <c r="V23" s="817"/>
      <c r="W23" s="818"/>
      <c r="X23" s="819"/>
      <c r="Y23" s="820"/>
      <c r="Z23" s="776"/>
      <c r="AA23" s="776"/>
    </row>
    <row r="24" spans="1:27" ht="23.25" customHeight="1">
      <c r="A24" s="821" t="s">
        <v>185</v>
      </c>
      <c r="B24" s="789">
        <v>330</v>
      </c>
      <c r="C24" s="843">
        <v>12</v>
      </c>
      <c r="D24" s="823"/>
      <c r="E24" s="843">
        <v>111</v>
      </c>
      <c r="F24" s="824">
        <v>9</v>
      </c>
      <c r="G24" s="824">
        <v>14</v>
      </c>
      <c r="H24" s="824">
        <v>1</v>
      </c>
      <c r="I24" s="824">
        <v>1358</v>
      </c>
      <c r="J24" s="824">
        <v>175</v>
      </c>
      <c r="K24" s="816">
        <f t="shared" si="1"/>
        <v>1668</v>
      </c>
      <c r="L24" s="824">
        <v>1604</v>
      </c>
      <c r="M24" s="843">
        <v>61</v>
      </c>
      <c r="N24" s="824"/>
      <c r="O24" s="816">
        <f t="shared" si="2"/>
        <v>1665</v>
      </c>
      <c r="P24" s="825">
        <f t="shared" si="3"/>
        <v>3</v>
      </c>
      <c r="Q24" s="824">
        <v>129</v>
      </c>
      <c r="R24" s="824">
        <v>4382</v>
      </c>
      <c r="S24" s="843">
        <v>3111</v>
      </c>
      <c r="T24" s="824">
        <v>3111</v>
      </c>
      <c r="U24" s="843"/>
      <c r="V24" s="817">
        <f t="shared" si="4"/>
        <v>70.994979461433132</v>
      </c>
      <c r="W24" s="818">
        <f t="shared" si="5"/>
        <v>1.8684684684684685</v>
      </c>
      <c r="X24" s="819">
        <f t="shared" si="6"/>
        <v>11.550890004564126</v>
      </c>
      <c r="Y24" s="820">
        <f t="shared" si="7"/>
        <v>0.76336336336336341</v>
      </c>
      <c r="Z24" s="776"/>
      <c r="AA24" s="776"/>
    </row>
    <row r="25" spans="1:27" ht="23.25" customHeight="1">
      <c r="A25" s="827" t="s">
        <v>1076</v>
      </c>
      <c r="B25" s="1192"/>
      <c r="C25" s="828"/>
      <c r="D25" s="829"/>
      <c r="E25" s="828"/>
      <c r="F25" s="830"/>
      <c r="G25" s="830"/>
      <c r="H25" s="830"/>
      <c r="I25" s="830"/>
      <c r="J25" s="829"/>
      <c r="K25" s="831"/>
      <c r="L25" s="844"/>
      <c r="M25" s="828"/>
      <c r="N25" s="829"/>
      <c r="O25" s="831"/>
      <c r="P25" s="832"/>
      <c r="Q25" s="830"/>
      <c r="R25" s="844"/>
      <c r="S25" s="845"/>
      <c r="T25" s="844"/>
      <c r="U25" s="845"/>
      <c r="V25" s="833"/>
      <c r="W25" s="834"/>
      <c r="X25" s="835"/>
      <c r="Y25" s="836"/>
      <c r="Z25" s="776"/>
      <c r="AA25" s="776"/>
    </row>
    <row r="26" spans="1:27" ht="15.75">
      <c r="Z26" s="776"/>
      <c r="AA26" s="776"/>
    </row>
    <row r="27" spans="1:27" ht="15.75">
      <c r="Z27" s="776"/>
      <c r="AA27" s="776"/>
    </row>
    <row r="28" spans="1:27" ht="15.75">
      <c r="Z28" s="776"/>
      <c r="AA28" s="776"/>
    </row>
    <row r="29" spans="1:27">
      <c r="O29" s="838"/>
    </row>
    <row r="30" spans="1:27">
      <c r="D30" s="839"/>
    </row>
    <row r="31" spans="1:27">
      <c r="D31" s="840"/>
    </row>
  </sheetData>
  <mergeCells count="2">
    <mergeCell ref="Q9:Q10"/>
    <mergeCell ref="E9:O9"/>
  </mergeCells>
  <phoneticPr fontId="57" type="noConversion"/>
  <printOptions horizontalCentered="1" verticalCentered="1" gridLinesSet="0"/>
  <pageMargins left="0.98425196850393704" right="0.78740157480314965" top="0.27559055118110237" bottom="0.23622047244094491" header="0.39370078740157483" footer="0.39370078740157483"/>
  <pageSetup paperSize="5" scale="73" orientation="landscape" horizontalDpi="300" verticalDpi="300" r:id="rId1"/>
  <headerFooter alignWithMargins="0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/>
  <dimension ref="A1:AA31"/>
  <sheetViews>
    <sheetView showGridLines="0" topLeftCell="A4" zoomScale="75" workbookViewId="0">
      <selection activeCell="A19" sqref="A19"/>
    </sheetView>
  </sheetViews>
  <sheetFormatPr baseColWidth="10" defaultColWidth="12.5703125" defaultRowHeight="12.75"/>
  <cols>
    <col min="1" max="1" width="21.7109375" style="837" customWidth="1"/>
    <col min="2" max="2" width="9.42578125" style="837" customWidth="1"/>
    <col min="3" max="3" width="8.140625" style="837" customWidth="1"/>
    <col min="4" max="4" width="8.42578125" style="837" customWidth="1"/>
    <col min="5" max="9" width="8.140625" style="837" customWidth="1"/>
    <col min="10" max="10" width="7" style="837" customWidth="1"/>
    <col min="11" max="12" width="8.140625" style="837" customWidth="1"/>
    <col min="13" max="13" width="9.28515625" style="837" customWidth="1"/>
    <col min="14" max="14" width="8.28515625" style="837" customWidth="1"/>
    <col min="15" max="17" width="8.140625" style="837" customWidth="1"/>
    <col min="18" max="21" width="9" style="837" customWidth="1"/>
    <col min="22" max="22" width="8.28515625" style="837" customWidth="1"/>
    <col min="23" max="23" width="8.85546875" style="837" customWidth="1"/>
    <col min="24" max="24" width="9.85546875" style="837" customWidth="1"/>
    <col min="25" max="25" width="9.7109375" style="837" customWidth="1"/>
    <col min="26" max="26" width="10.85546875" style="775" customWidth="1"/>
    <col min="27" max="27" width="9.28515625" style="775" customWidth="1"/>
    <col min="28" max="16384" width="12.5703125" style="775"/>
  </cols>
  <sheetData>
    <row r="1" spans="1:27">
      <c r="A1" s="772" t="s">
        <v>191</v>
      </c>
      <c r="B1" s="772"/>
      <c r="C1" s="773"/>
      <c r="D1" s="773"/>
      <c r="E1" s="773"/>
      <c r="F1" s="773"/>
      <c r="G1" s="773"/>
      <c r="H1" s="773"/>
      <c r="I1" s="773"/>
      <c r="J1" s="773"/>
      <c r="K1" s="774"/>
      <c r="L1" s="773"/>
      <c r="M1" s="773"/>
      <c r="N1" s="773"/>
      <c r="O1" s="773"/>
      <c r="P1" s="773"/>
      <c r="Q1" s="773"/>
      <c r="R1" s="773"/>
      <c r="S1" s="773"/>
      <c r="T1" s="773"/>
      <c r="U1" s="773"/>
      <c r="V1" s="773"/>
      <c r="W1" s="773"/>
      <c r="X1" s="773"/>
      <c r="Y1" s="773"/>
    </row>
    <row r="2" spans="1:27">
      <c r="A2" s="772"/>
      <c r="B2" s="772"/>
      <c r="C2" s="773"/>
      <c r="D2" s="773"/>
      <c r="E2" s="773"/>
      <c r="F2" s="773"/>
      <c r="G2" s="773"/>
      <c r="H2" s="773"/>
      <c r="I2" s="773"/>
      <c r="J2" s="773"/>
      <c r="K2" s="773"/>
      <c r="L2" s="773"/>
      <c r="M2" s="773"/>
      <c r="N2" s="773"/>
      <c r="O2" s="773"/>
      <c r="P2" s="773"/>
      <c r="Q2" s="773"/>
      <c r="R2" s="773"/>
      <c r="S2" s="773"/>
      <c r="T2" s="773"/>
      <c r="U2" s="773"/>
      <c r="V2" s="773"/>
      <c r="W2" s="773"/>
      <c r="X2" s="773"/>
      <c r="Y2" s="773"/>
    </row>
    <row r="3" spans="1:27">
      <c r="A3" s="772" t="str">
        <f>+'86'!A3</f>
        <v>SERVICIO DE SALUD   ACONCAGUA   2014</v>
      </c>
      <c r="B3" s="772"/>
      <c r="C3" s="773"/>
      <c r="D3" s="773"/>
      <c r="E3" s="773"/>
      <c r="F3" s="773"/>
      <c r="G3" s="773"/>
      <c r="H3" s="773"/>
      <c r="I3" s="773"/>
      <c r="J3" s="773"/>
      <c r="K3" s="773"/>
      <c r="L3" s="773"/>
      <c r="M3" s="773"/>
      <c r="N3" s="773"/>
      <c r="O3" s="773"/>
      <c r="P3" s="773"/>
      <c r="Q3" s="773"/>
      <c r="R3" s="773"/>
      <c r="S3" s="773"/>
      <c r="T3" s="773"/>
      <c r="U3" s="773"/>
      <c r="V3" s="773"/>
      <c r="W3" s="773"/>
      <c r="X3" s="773"/>
      <c r="Y3" s="773"/>
    </row>
    <row r="4" spans="1:27">
      <c r="A4" s="773"/>
      <c r="B4" s="773"/>
      <c r="C4" s="773"/>
      <c r="D4" s="773"/>
      <c r="E4" s="773"/>
      <c r="F4" s="773"/>
      <c r="G4" s="773"/>
      <c r="H4" s="773"/>
      <c r="I4" s="773"/>
      <c r="J4" s="773"/>
      <c r="K4" s="773"/>
      <c r="L4" s="773"/>
      <c r="M4" s="773"/>
      <c r="N4" s="773"/>
      <c r="O4" s="773"/>
      <c r="P4" s="773"/>
      <c r="Q4" s="773"/>
      <c r="R4" s="773"/>
      <c r="S4" s="773"/>
      <c r="T4" s="773"/>
      <c r="U4" s="773"/>
      <c r="V4" s="773"/>
      <c r="W4" s="773"/>
      <c r="X4" s="773"/>
      <c r="Y4" s="773"/>
    </row>
    <row r="5" spans="1:27">
      <c r="A5" s="773"/>
      <c r="B5" s="773"/>
      <c r="C5" s="773"/>
      <c r="D5" s="773"/>
      <c r="E5" s="773"/>
      <c r="F5" s="773"/>
      <c r="G5" s="773"/>
      <c r="H5" s="773"/>
      <c r="I5" s="773"/>
      <c r="J5" s="773"/>
      <c r="K5" s="773"/>
      <c r="L5" s="773"/>
      <c r="M5" s="773"/>
      <c r="N5" s="773"/>
      <c r="O5" s="773"/>
      <c r="P5" s="773"/>
      <c r="Q5" s="773"/>
      <c r="R5" s="773"/>
      <c r="S5" s="773"/>
      <c r="T5" s="773"/>
      <c r="U5" s="773"/>
      <c r="V5" s="773"/>
      <c r="W5" s="773"/>
      <c r="X5" s="773"/>
      <c r="Y5" s="773"/>
    </row>
    <row r="6" spans="1:27">
      <c r="A6" s="773"/>
      <c r="B6" s="773"/>
      <c r="C6" s="773"/>
      <c r="D6" s="773"/>
      <c r="E6" s="773"/>
      <c r="F6" s="773"/>
      <c r="G6" s="773"/>
      <c r="H6" s="773"/>
      <c r="I6" s="773"/>
      <c r="J6" s="773"/>
      <c r="K6" s="773"/>
      <c r="L6" s="773"/>
      <c r="M6" s="773"/>
      <c r="N6" s="773"/>
      <c r="O6" s="773"/>
      <c r="P6" s="773"/>
      <c r="Q6" s="773"/>
      <c r="R6" s="773"/>
      <c r="S6" s="773"/>
      <c r="T6" s="773"/>
      <c r="U6" s="773"/>
      <c r="V6" s="773"/>
      <c r="W6" s="773"/>
      <c r="X6" s="773"/>
      <c r="Y6" s="773"/>
    </row>
    <row r="7" spans="1:27">
      <c r="A7" s="773"/>
      <c r="B7" s="773"/>
      <c r="C7" s="773"/>
      <c r="D7" s="773"/>
      <c r="E7" s="773"/>
      <c r="F7" s="773"/>
      <c r="G7" s="773"/>
      <c r="H7" s="773"/>
      <c r="I7" s="773"/>
      <c r="J7" s="773"/>
      <c r="K7" s="773"/>
      <c r="L7" s="773"/>
      <c r="M7" s="773"/>
      <c r="N7" s="773"/>
      <c r="O7" s="773"/>
      <c r="P7" s="773"/>
      <c r="Q7" s="773"/>
      <c r="R7" s="773"/>
      <c r="S7" s="773"/>
      <c r="T7" s="773"/>
      <c r="U7" s="773"/>
      <c r="V7" s="773"/>
      <c r="W7" s="773"/>
      <c r="X7" s="773"/>
      <c r="Y7" s="773"/>
    </row>
    <row r="8" spans="1:27" ht="15.75">
      <c r="A8" s="777"/>
      <c r="B8" s="777"/>
      <c r="C8" s="777"/>
      <c r="D8" s="777"/>
      <c r="E8" s="777"/>
      <c r="F8" s="777"/>
      <c r="G8" s="777"/>
      <c r="H8" s="777"/>
      <c r="I8" s="777"/>
      <c r="J8" s="777"/>
      <c r="K8" s="777"/>
      <c r="L8" s="777"/>
      <c r="M8" s="777"/>
      <c r="N8" s="777"/>
      <c r="O8" s="777"/>
      <c r="P8" s="777"/>
      <c r="Q8" s="777"/>
      <c r="R8" s="777"/>
      <c r="S8" s="777"/>
      <c r="T8" s="777"/>
      <c r="U8" s="777"/>
      <c r="V8" s="777"/>
      <c r="W8" s="777"/>
      <c r="X8" s="777"/>
      <c r="Y8" s="777"/>
      <c r="Z8" s="776"/>
      <c r="AA8" s="776"/>
    </row>
    <row r="9" spans="1:27" s="788" customFormat="1" ht="21.75" customHeight="1">
      <c r="A9" s="778"/>
      <c r="B9" s="778"/>
      <c r="C9" s="779"/>
      <c r="D9" s="780"/>
      <c r="E9" s="1290" t="s">
        <v>153</v>
      </c>
      <c r="F9" s="1290"/>
      <c r="G9" s="1290"/>
      <c r="H9" s="1290"/>
      <c r="I9" s="1290"/>
      <c r="J9" s="1290"/>
      <c r="K9" s="1290"/>
      <c r="L9" s="1290"/>
      <c r="M9" s="1290"/>
      <c r="N9" s="1290"/>
      <c r="O9" s="1290"/>
      <c r="P9" s="781"/>
      <c r="Q9" s="1288" t="s">
        <v>154</v>
      </c>
      <c r="R9" s="782" t="s">
        <v>155</v>
      </c>
      <c r="S9" s="783"/>
      <c r="T9" s="1291" t="s">
        <v>156</v>
      </c>
      <c r="U9" s="1292"/>
      <c r="V9" s="782" t="s">
        <v>157</v>
      </c>
      <c r="W9" s="786"/>
      <c r="X9" s="786"/>
      <c r="Y9" s="783"/>
      <c r="Z9" s="787"/>
      <c r="AA9" s="787"/>
    </row>
    <row r="10" spans="1:27" s="788" customFormat="1" ht="19.5" customHeight="1">
      <c r="A10" s="789" t="s">
        <v>158</v>
      </c>
      <c r="B10" s="1189" t="s">
        <v>1472</v>
      </c>
      <c r="C10" s="790"/>
      <c r="D10" s="791" t="s">
        <v>159</v>
      </c>
      <c r="E10" s="792" t="s">
        <v>160</v>
      </c>
      <c r="F10" s="793"/>
      <c r="G10" s="793"/>
      <c r="H10" s="793"/>
      <c r="I10" s="793"/>
      <c r="J10" s="793"/>
      <c r="K10" s="794"/>
      <c r="L10" s="795" t="s">
        <v>161</v>
      </c>
      <c r="M10" s="795"/>
      <c r="N10" s="795"/>
      <c r="O10" s="795"/>
      <c r="P10" s="791" t="s">
        <v>159</v>
      </c>
      <c r="Q10" s="1289"/>
      <c r="R10" s="796"/>
      <c r="S10" s="797"/>
      <c r="T10" s="798"/>
      <c r="U10" s="798"/>
      <c r="V10" s="799"/>
      <c r="W10" s="800"/>
      <c r="X10" s="800"/>
      <c r="Y10" s="801"/>
      <c r="Z10" s="787"/>
      <c r="AA10" s="787"/>
    </row>
    <row r="11" spans="1:27" s="788" customFormat="1" ht="36" customHeight="1">
      <c r="A11" s="789" t="s">
        <v>162</v>
      </c>
      <c r="B11" s="1189" t="s">
        <v>1473</v>
      </c>
      <c r="C11" s="802" t="s">
        <v>163</v>
      </c>
      <c r="D11" s="802" t="s">
        <v>164</v>
      </c>
      <c r="E11" s="803" t="s">
        <v>1159</v>
      </c>
      <c r="F11" s="804" t="s">
        <v>1157</v>
      </c>
      <c r="G11" s="804" t="s">
        <v>165</v>
      </c>
      <c r="H11" s="805" t="s">
        <v>166</v>
      </c>
      <c r="I11" s="805" t="s">
        <v>167</v>
      </c>
      <c r="J11" s="806" t="s">
        <v>243</v>
      </c>
      <c r="K11" s="804" t="s">
        <v>571</v>
      </c>
      <c r="L11" s="807" t="s">
        <v>168</v>
      </c>
      <c r="M11" s="805" t="s">
        <v>169</v>
      </c>
      <c r="N11" s="808" t="s">
        <v>170</v>
      </c>
      <c r="O11" s="804" t="s">
        <v>571</v>
      </c>
      <c r="P11" s="802" t="s">
        <v>171</v>
      </c>
      <c r="Q11" s="809" t="s">
        <v>172</v>
      </c>
      <c r="R11" s="810" t="s">
        <v>173</v>
      </c>
      <c r="S11" s="804" t="s">
        <v>174</v>
      </c>
      <c r="T11" s="804" t="s">
        <v>571</v>
      </c>
      <c r="U11" s="811" t="s">
        <v>175</v>
      </c>
      <c r="V11" s="805" t="s">
        <v>176</v>
      </c>
      <c r="W11" s="805" t="s">
        <v>177</v>
      </c>
      <c r="X11" s="812" t="s">
        <v>178</v>
      </c>
      <c r="Y11" s="813" t="s">
        <v>179</v>
      </c>
      <c r="Z11" s="787"/>
      <c r="AA11" s="787"/>
    </row>
    <row r="12" spans="1:27" ht="23.25" customHeight="1">
      <c r="A12" s="814" t="s">
        <v>690</v>
      </c>
      <c r="B12" s="1191"/>
      <c r="C12" s="815">
        <f>SUM(C13:C25)</f>
        <v>45</v>
      </c>
      <c r="D12" s="815">
        <f t="shared" ref="D12:U12" si="0">SUM(D13:D25)</f>
        <v>12</v>
      </c>
      <c r="E12" s="815">
        <f t="shared" si="0"/>
        <v>1479</v>
      </c>
      <c r="F12" s="815">
        <f t="shared" si="0"/>
        <v>0</v>
      </c>
      <c r="G12" s="815">
        <f t="shared" si="0"/>
        <v>0</v>
      </c>
      <c r="H12" s="815">
        <f t="shared" si="0"/>
        <v>0</v>
      </c>
      <c r="I12" s="815">
        <f t="shared" si="0"/>
        <v>0</v>
      </c>
      <c r="J12" s="815">
        <f t="shared" si="0"/>
        <v>0</v>
      </c>
      <c r="K12" s="815">
        <f t="shared" si="0"/>
        <v>1479</v>
      </c>
      <c r="L12" s="815">
        <f t="shared" si="0"/>
        <v>1436</v>
      </c>
      <c r="M12" s="815">
        <f t="shared" si="0"/>
        <v>0</v>
      </c>
      <c r="N12" s="815">
        <f t="shared" si="0"/>
        <v>44</v>
      </c>
      <c r="O12" s="815">
        <f t="shared" si="0"/>
        <v>1480</v>
      </c>
      <c r="P12" s="815">
        <f t="shared" si="0"/>
        <v>11</v>
      </c>
      <c r="Q12" s="815">
        <f t="shared" si="0"/>
        <v>77</v>
      </c>
      <c r="R12" s="815">
        <f t="shared" si="0"/>
        <v>15985</v>
      </c>
      <c r="S12" s="815">
        <f t="shared" si="0"/>
        <v>7985</v>
      </c>
      <c r="T12" s="815">
        <f t="shared" si="0"/>
        <v>8167</v>
      </c>
      <c r="U12" s="815">
        <f t="shared" si="0"/>
        <v>8105</v>
      </c>
      <c r="V12" s="817">
        <f>S12/R12*100</f>
        <v>49.95308101345011</v>
      </c>
      <c r="W12" s="818">
        <f>+T12/O12</f>
        <v>5.5182432432432433</v>
      </c>
      <c r="X12" s="819">
        <f>+O12/(R12/30.4)</f>
        <v>2.8146387238035659</v>
      </c>
      <c r="Y12" s="820">
        <f>(+R12-S12)/O12</f>
        <v>5.4054054054054053</v>
      </c>
      <c r="Z12" s="776"/>
      <c r="AA12" s="776"/>
    </row>
    <row r="13" spans="1:27" ht="23.25" customHeight="1">
      <c r="A13" s="1184" t="s">
        <v>1474</v>
      </c>
      <c r="B13" s="789">
        <v>403</v>
      </c>
      <c r="C13" s="843">
        <v>33</v>
      </c>
      <c r="D13" s="823">
        <v>12</v>
      </c>
      <c r="E13" s="843">
        <v>1237</v>
      </c>
      <c r="F13" s="824"/>
      <c r="G13" s="824"/>
      <c r="H13" s="824"/>
      <c r="I13" s="824"/>
      <c r="J13" s="824"/>
      <c r="K13" s="816">
        <f>SUM(E13:J13)</f>
        <v>1237</v>
      </c>
      <c r="L13" s="824">
        <v>1194</v>
      </c>
      <c r="M13" s="843"/>
      <c r="N13" s="824">
        <v>44</v>
      </c>
      <c r="O13" s="816">
        <f>SUM(L13:N13)</f>
        <v>1238</v>
      </c>
      <c r="P13" s="825">
        <f>SUM(D13,K13)-O13</f>
        <v>11</v>
      </c>
      <c r="Q13" s="824">
        <v>59</v>
      </c>
      <c r="R13" s="824">
        <v>11849</v>
      </c>
      <c r="S13" s="843">
        <v>7183</v>
      </c>
      <c r="T13" s="824">
        <v>7377</v>
      </c>
      <c r="U13" s="843">
        <v>7321</v>
      </c>
      <c r="V13" s="817">
        <f>S13/R13*100</f>
        <v>60.621149464089797</v>
      </c>
      <c r="W13" s="818">
        <f>+T13/O13</f>
        <v>5.9588045234248792</v>
      </c>
      <c r="X13" s="819">
        <f>+O13/(R13/30.4)</f>
        <v>3.1762342813739557</v>
      </c>
      <c r="Y13" s="820">
        <f>(+R13-S13)/O13</f>
        <v>3.7689822294022619</v>
      </c>
      <c r="Z13" s="776"/>
      <c r="AA13" s="776"/>
    </row>
    <row r="14" spans="1:27" ht="23.25" customHeight="1">
      <c r="A14" s="1184" t="s">
        <v>1475</v>
      </c>
      <c r="B14" s="789">
        <v>404</v>
      </c>
      <c r="C14" s="816"/>
      <c r="D14" s="825"/>
      <c r="E14" s="816"/>
      <c r="F14" s="825"/>
      <c r="G14" s="825"/>
      <c r="H14" s="825"/>
      <c r="I14" s="825"/>
      <c r="J14" s="825"/>
      <c r="K14" s="816"/>
      <c r="L14" s="825"/>
      <c r="M14" s="816"/>
      <c r="N14" s="825"/>
      <c r="O14" s="816"/>
      <c r="P14" s="825"/>
      <c r="Q14" s="825"/>
      <c r="R14" s="825"/>
      <c r="S14" s="816"/>
      <c r="T14" s="825"/>
      <c r="U14" s="816"/>
      <c r="V14" s="817"/>
      <c r="W14" s="818"/>
      <c r="X14" s="819"/>
      <c r="Y14" s="820"/>
      <c r="Z14" s="776"/>
      <c r="AA14" s="776"/>
    </row>
    <row r="15" spans="1:27" ht="23.25" customHeight="1">
      <c r="A15" s="821" t="s">
        <v>180</v>
      </c>
      <c r="B15" s="789">
        <v>416</v>
      </c>
      <c r="C15" s="843">
        <v>4</v>
      </c>
      <c r="D15" s="823"/>
      <c r="E15" s="843">
        <v>6</v>
      </c>
      <c r="F15" s="826"/>
      <c r="G15" s="826"/>
      <c r="H15" s="826"/>
      <c r="I15" s="826"/>
      <c r="J15" s="824"/>
      <c r="K15" s="816">
        <f>SUM(E15:J15)</f>
        <v>6</v>
      </c>
      <c r="L15" s="824">
        <v>6</v>
      </c>
      <c r="M15" s="843"/>
      <c r="N15" s="824"/>
      <c r="O15" s="816">
        <f>SUM(L15:N15)</f>
        <v>6</v>
      </c>
      <c r="P15" s="825">
        <f>SUM(D15,K15)-O15</f>
        <v>0</v>
      </c>
      <c r="Q15" s="824">
        <v>1</v>
      </c>
      <c r="R15" s="824">
        <v>1580</v>
      </c>
      <c r="S15" s="843">
        <v>9</v>
      </c>
      <c r="T15" s="824">
        <v>9</v>
      </c>
      <c r="U15" s="843">
        <v>9</v>
      </c>
      <c r="V15" s="817">
        <f>S15/R15*100</f>
        <v>0.569620253164557</v>
      </c>
      <c r="W15" s="818">
        <f>+T15/O15</f>
        <v>1.5</v>
      </c>
      <c r="X15" s="819">
        <f>+O15/(R15/30.4)</f>
        <v>0.11544303797468354</v>
      </c>
      <c r="Y15" s="820">
        <f>(+R15-S15)/O15</f>
        <v>261.83333333333331</v>
      </c>
      <c r="Z15" s="776"/>
      <c r="AA15" s="776"/>
    </row>
    <row r="16" spans="1:27" ht="23.25" customHeight="1">
      <c r="A16" s="1184" t="s">
        <v>1476</v>
      </c>
      <c r="B16" s="789">
        <v>407</v>
      </c>
      <c r="C16" s="843">
        <v>7</v>
      </c>
      <c r="D16" s="823"/>
      <c r="E16" s="843">
        <v>236</v>
      </c>
      <c r="F16" s="824"/>
      <c r="G16" s="824"/>
      <c r="H16" s="824"/>
      <c r="I16" s="824"/>
      <c r="J16" s="824"/>
      <c r="K16" s="816">
        <f>SUM(E16:J16)</f>
        <v>236</v>
      </c>
      <c r="L16" s="824">
        <v>236</v>
      </c>
      <c r="M16" s="843"/>
      <c r="N16" s="824"/>
      <c r="O16" s="816">
        <f>SUM(L16:N16)</f>
        <v>236</v>
      </c>
      <c r="P16" s="825">
        <f>SUM(D16,K16)-O16</f>
        <v>0</v>
      </c>
      <c r="Q16" s="824">
        <v>17</v>
      </c>
      <c r="R16" s="824">
        <v>2556</v>
      </c>
      <c r="S16" s="843">
        <v>793</v>
      </c>
      <c r="T16" s="824">
        <v>781</v>
      </c>
      <c r="U16" s="843">
        <v>775</v>
      </c>
      <c r="V16" s="817">
        <f>S16/R16*100</f>
        <v>31.02503912363067</v>
      </c>
      <c r="W16" s="818">
        <f>+T16/O16</f>
        <v>3.3093220338983049</v>
      </c>
      <c r="X16" s="819">
        <f>+O16/(R16/30.4)</f>
        <v>2.8068857589984351</v>
      </c>
      <c r="Y16" s="820">
        <f>(+R16-S16)/O16</f>
        <v>7.4703389830508478</v>
      </c>
      <c r="Z16" s="776"/>
      <c r="AA16" s="776"/>
    </row>
    <row r="17" spans="1:27" ht="23.25" customHeight="1">
      <c r="A17" s="1184" t="s">
        <v>1477</v>
      </c>
      <c r="B17" s="789">
        <v>409</v>
      </c>
      <c r="C17" s="843"/>
      <c r="D17" s="823"/>
      <c r="E17" s="843"/>
      <c r="F17" s="824"/>
      <c r="G17" s="824"/>
      <c r="H17" s="824"/>
      <c r="I17" s="824"/>
      <c r="J17" s="824"/>
      <c r="K17" s="816"/>
      <c r="L17" s="824"/>
      <c r="M17" s="843"/>
      <c r="N17" s="824"/>
      <c r="O17" s="816"/>
      <c r="P17" s="825"/>
      <c r="Q17" s="824"/>
      <c r="R17" s="824"/>
      <c r="S17" s="843"/>
      <c r="T17" s="824"/>
      <c r="U17" s="843"/>
      <c r="V17" s="817"/>
      <c r="W17" s="818"/>
      <c r="X17" s="819"/>
      <c r="Y17" s="820"/>
      <c r="Z17" s="776"/>
      <c r="AA17" s="776"/>
    </row>
    <row r="18" spans="1:27" ht="23.25" customHeight="1">
      <c r="A18" s="821" t="s">
        <v>181</v>
      </c>
      <c r="B18" s="789">
        <v>413</v>
      </c>
      <c r="C18" s="843"/>
      <c r="D18" s="823"/>
      <c r="E18" s="843"/>
      <c r="F18" s="824"/>
      <c r="G18" s="824"/>
      <c r="H18" s="824"/>
      <c r="I18" s="824"/>
      <c r="J18" s="824"/>
      <c r="K18" s="816"/>
      <c r="L18" s="824"/>
      <c r="M18" s="843"/>
      <c r="N18" s="824"/>
      <c r="O18" s="816"/>
      <c r="P18" s="825"/>
      <c r="Q18" s="824"/>
      <c r="R18" s="824"/>
      <c r="S18" s="843"/>
      <c r="T18" s="824"/>
      <c r="U18" s="843"/>
      <c r="V18" s="817"/>
      <c r="W18" s="818"/>
      <c r="X18" s="819"/>
      <c r="Y18" s="820"/>
      <c r="Z18" s="776"/>
      <c r="AA18" s="776"/>
    </row>
    <row r="19" spans="1:27" ht="23.25" customHeight="1">
      <c r="A19" s="1184" t="s">
        <v>1469</v>
      </c>
      <c r="B19" s="1189">
        <v>412</v>
      </c>
      <c r="C19" s="843"/>
      <c r="D19" s="824"/>
      <c r="E19" s="843"/>
      <c r="F19" s="824"/>
      <c r="G19" s="824"/>
      <c r="H19" s="824"/>
      <c r="I19" s="824"/>
      <c r="J19" s="824"/>
      <c r="K19" s="816"/>
      <c r="L19" s="824"/>
      <c r="M19" s="843"/>
      <c r="N19" s="824"/>
      <c r="O19" s="816"/>
      <c r="P19" s="825"/>
      <c r="Q19" s="824"/>
      <c r="R19" s="824"/>
      <c r="S19" s="843"/>
      <c r="T19" s="824"/>
      <c r="U19" s="843"/>
      <c r="V19" s="846"/>
      <c r="W19" s="818"/>
      <c r="X19" s="819"/>
      <c r="Y19" s="820"/>
      <c r="Z19" s="776"/>
      <c r="AA19" s="776"/>
    </row>
    <row r="20" spans="1:27" ht="23.25" customHeight="1">
      <c r="A20" s="821" t="s">
        <v>182</v>
      </c>
      <c r="B20" s="789">
        <v>414</v>
      </c>
      <c r="C20" s="843"/>
      <c r="D20" s="823"/>
      <c r="E20" s="843"/>
      <c r="F20" s="824"/>
      <c r="G20" s="824"/>
      <c r="H20" s="824"/>
      <c r="I20" s="824"/>
      <c r="J20" s="824"/>
      <c r="K20" s="816"/>
      <c r="L20" s="824"/>
      <c r="M20" s="843"/>
      <c r="N20" s="824"/>
      <c r="O20" s="816"/>
      <c r="P20" s="825"/>
      <c r="Q20" s="824"/>
      <c r="R20" s="824"/>
      <c r="S20" s="843"/>
      <c r="T20" s="824"/>
      <c r="U20" s="843"/>
      <c r="V20" s="817"/>
      <c r="W20" s="818"/>
      <c r="X20" s="819"/>
      <c r="Y20" s="820"/>
      <c r="Z20" s="776"/>
      <c r="AA20" s="776"/>
    </row>
    <row r="21" spans="1:27" ht="23.25" customHeight="1">
      <c r="A21" s="821" t="s">
        <v>183</v>
      </c>
      <c r="B21" s="789">
        <v>405</v>
      </c>
      <c r="C21" s="843"/>
      <c r="D21" s="823"/>
      <c r="E21" s="843"/>
      <c r="F21" s="824"/>
      <c r="G21" s="824"/>
      <c r="H21" s="824"/>
      <c r="I21" s="824"/>
      <c r="J21" s="824"/>
      <c r="K21" s="816"/>
      <c r="L21" s="824"/>
      <c r="M21" s="843"/>
      <c r="N21" s="824"/>
      <c r="O21" s="816"/>
      <c r="P21" s="825"/>
      <c r="Q21" s="824"/>
      <c r="R21" s="824"/>
      <c r="S21" s="843"/>
      <c r="T21" s="824"/>
      <c r="U21" s="843"/>
      <c r="V21" s="817"/>
      <c r="W21" s="818"/>
      <c r="X21" s="819"/>
      <c r="Y21" s="820"/>
      <c r="Z21" s="776"/>
      <c r="AA21" s="776"/>
    </row>
    <row r="22" spans="1:27" ht="23.25" customHeight="1">
      <c r="A22" s="821" t="s">
        <v>184</v>
      </c>
      <c r="B22" s="789">
        <v>406</v>
      </c>
      <c r="C22" s="843"/>
      <c r="D22" s="823"/>
      <c r="E22" s="843"/>
      <c r="F22" s="824"/>
      <c r="G22" s="824"/>
      <c r="H22" s="824"/>
      <c r="I22" s="824"/>
      <c r="J22" s="824"/>
      <c r="K22" s="816"/>
      <c r="L22" s="824"/>
      <c r="M22" s="843"/>
      <c r="N22" s="824"/>
      <c r="O22" s="816"/>
      <c r="P22" s="825"/>
      <c r="Q22" s="824"/>
      <c r="R22" s="824"/>
      <c r="S22" s="843"/>
      <c r="T22" s="824"/>
      <c r="U22" s="843"/>
      <c r="V22" s="817"/>
      <c r="W22" s="818"/>
      <c r="X22" s="819"/>
      <c r="Y22" s="820"/>
      <c r="Z22" s="776"/>
      <c r="AA22" s="776"/>
    </row>
    <row r="23" spans="1:27" ht="23.25" customHeight="1">
      <c r="A23" s="821" t="s">
        <v>843</v>
      </c>
      <c r="B23" s="789">
        <v>415</v>
      </c>
      <c r="C23" s="843"/>
      <c r="D23" s="823"/>
      <c r="E23" s="843"/>
      <c r="F23" s="824"/>
      <c r="G23" s="824"/>
      <c r="H23" s="824"/>
      <c r="I23" s="824"/>
      <c r="J23" s="824"/>
      <c r="K23" s="816"/>
      <c r="L23" s="824"/>
      <c r="M23" s="843"/>
      <c r="N23" s="824"/>
      <c r="O23" s="816"/>
      <c r="P23" s="825"/>
      <c r="Q23" s="824"/>
      <c r="R23" s="824"/>
      <c r="S23" s="843"/>
      <c r="T23" s="824"/>
      <c r="U23" s="843"/>
      <c r="V23" s="817"/>
      <c r="W23" s="818"/>
      <c r="X23" s="819"/>
      <c r="Y23" s="820"/>
      <c r="Z23" s="776"/>
      <c r="AA23" s="776"/>
    </row>
    <row r="24" spans="1:27" ht="23.25" customHeight="1">
      <c r="A24" s="821" t="s">
        <v>185</v>
      </c>
      <c r="B24" s="789">
        <v>330</v>
      </c>
      <c r="C24" s="843">
        <v>1</v>
      </c>
      <c r="D24" s="824"/>
      <c r="E24" s="843">
        <v>0</v>
      </c>
      <c r="F24" s="824"/>
      <c r="G24" s="824"/>
      <c r="H24" s="824"/>
      <c r="I24" s="824"/>
      <c r="J24" s="824"/>
      <c r="K24" s="816">
        <f>SUM(E24:J24)</f>
        <v>0</v>
      </c>
      <c r="L24" s="824"/>
      <c r="M24" s="843"/>
      <c r="N24" s="824"/>
      <c r="O24" s="816">
        <f>SUM(L24:N24)</f>
        <v>0</v>
      </c>
      <c r="P24" s="825">
        <f>SUM(D24,K24)-O24</f>
        <v>0</v>
      </c>
      <c r="Q24" s="824"/>
      <c r="R24" s="824"/>
      <c r="S24" s="843"/>
      <c r="T24" s="824"/>
      <c r="U24" s="843"/>
      <c r="V24" s="846"/>
      <c r="W24" s="818"/>
      <c r="X24" s="1078"/>
      <c r="Y24" s="820"/>
      <c r="Z24" s="776"/>
      <c r="AA24" s="776"/>
    </row>
    <row r="25" spans="1:27" ht="23.25" customHeight="1">
      <c r="A25" s="827" t="s">
        <v>1076</v>
      </c>
      <c r="B25" s="1192"/>
      <c r="C25" s="828"/>
      <c r="D25" s="829"/>
      <c r="E25" s="828"/>
      <c r="F25" s="830"/>
      <c r="G25" s="830"/>
      <c r="H25" s="830"/>
      <c r="I25" s="830"/>
      <c r="J25" s="829"/>
      <c r="K25" s="831"/>
      <c r="L25" s="829"/>
      <c r="M25" s="828"/>
      <c r="N25" s="829"/>
      <c r="O25" s="831"/>
      <c r="P25" s="832"/>
      <c r="Q25" s="830"/>
      <c r="R25" s="844"/>
      <c r="S25" s="845"/>
      <c r="T25" s="844"/>
      <c r="U25" s="845"/>
      <c r="V25" s="833"/>
      <c r="W25" s="834"/>
      <c r="X25" s="835"/>
      <c r="Y25" s="836"/>
      <c r="Z25" s="776"/>
      <c r="AA25" s="776"/>
    </row>
    <row r="26" spans="1:27" ht="15.75">
      <c r="Z26" s="776"/>
      <c r="AA26" s="776"/>
    </row>
    <row r="27" spans="1:27" ht="15.75">
      <c r="Z27" s="776"/>
      <c r="AA27" s="776"/>
    </row>
    <row r="28" spans="1:27" ht="15.75">
      <c r="Z28" s="776"/>
      <c r="AA28" s="776"/>
    </row>
    <row r="29" spans="1:27">
      <c r="O29" s="838"/>
    </row>
    <row r="30" spans="1:27">
      <c r="D30" s="839"/>
    </row>
    <row r="31" spans="1:27">
      <c r="D31" s="840"/>
    </row>
  </sheetData>
  <mergeCells count="3">
    <mergeCell ref="Q9:Q10"/>
    <mergeCell ref="T9:U9"/>
    <mergeCell ref="E9:O9"/>
  </mergeCells>
  <phoneticPr fontId="57" type="noConversion"/>
  <printOptions horizontalCentered="1" verticalCentered="1" gridLinesSet="0"/>
  <pageMargins left="0.19685039370078741" right="0.78740157480314965" top="0.27559055118110237" bottom="0.23622047244094491" header="0.39370078740157483" footer="0.39370078740157483"/>
  <pageSetup paperSize="5" scale="73" orientation="landscape" horizontalDpi="300" verticalDpi="300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91"/>
  <sheetViews>
    <sheetView topLeftCell="A82" workbookViewId="0">
      <selection activeCell="C68" sqref="C68"/>
    </sheetView>
  </sheetViews>
  <sheetFormatPr baseColWidth="10" defaultRowHeight="12.75"/>
  <cols>
    <col min="1" max="1" width="21.140625" customWidth="1"/>
    <col min="2" max="2" width="9.42578125" customWidth="1"/>
    <col min="3" max="3" width="1.85546875" customWidth="1"/>
    <col min="4" max="4" width="8.28515625" customWidth="1"/>
    <col min="5" max="5" width="9.28515625" customWidth="1"/>
    <col min="6" max="6" width="7.7109375" customWidth="1"/>
    <col min="7" max="7" width="8.42578125" customWidth="1"/>
    <col min="8" max="8" width="8.85546875" customWidth="1"/>
    <col min="9" max="9" width="9.28515625" customWidth="1"/>
    <col min="10" max="10" width="9.140625" customWidth="1"/>
    <col min="11" max="11" width="8.85546875" customWidth="1"/>
    <col min="12" max="12" width="8.7109375" customWidth="1"/>
  </cols>
  <sheetData>
    <row r="1" spans="1:14" ht="15.75">
      <c r="A1" s="116" t="s">
        <v>589</v>
      </c>
      <c r="B1" s="117"/>
      <c r="C1" s="117"/>
      <c r="D1" s="117"/>
      <c r="E1" s="117"/>
      <c r="F1" s="117"/>
      <c r="G1" s="117"/>
      <c r="H1" s="117"/>
      <c r="I1" s="117"/>
      <c r="J1" s="117"/>
      <c r="K1" s="117"/>
      <c r="L1" s="117"/>
    </row>
    <row r="2" spans="1:14">
      <c r="A2" s="117"/>
      <c r="B2" s="117"/>
      <c r="C2" s="117"/>
      <c r="D2" s="117"/>
      <c r="E2" s="117"/>
      <c r="F2" s="117"/>
      <c r="G2" s="117"/>
      <c r="H2" s="117"/>
      <c r="I2" s="117"/>
      <c r="J2" s="117"/>
      <c r="K2" s="117"/>
      <c r="L2" s="117"/>
    </row>
    <row r="3" spans="1:14">
      <c r="A3" s="118">
        <v>2014</v>
      </c>
      <c r="B3" s="117"/>
      <c r="C3" s="117"/>
      <c r="D3" s="117"/>
      <c r="E3" s="117"/>
      <c r="F3" s="117"/>
      <c r="G3" s="117"/>
      <c r="H3" s="117"/>
      <c r="I3" s="117"/>
      <c r="J3" s="117"/>
      <c r="K3" s="117"/>
      <c r="L3" s="117"/>
    </row>
    <row r="5" spans="1:14">
      <c r="B5" s="119"/>
      <c r="D5" s="119"/>
      <c r="E5" s="119"/>
      <c r="F5" s="119"/>
      <c r="G5" s="119"/>
      <c r="H5" s="119"/>
      <c r="I5" s="119"/>
      <c r="J5" s="119"/>
      <c r="K5" s="119"/>
      <c r="L5" s="119"/>
    </row>
    <row r="7" spans="1:14" ht="24.75" customHeight="1">
      <c r="A7" s="120" t="s">
        <v>590</v>
      </c>
      <c r="B7" s="121" t="s">
        <v>571</v>
      </c>
      <c r="C7" s="122"/>
      <c r="D7" s="123" t="s">
        <v>591</v>
      </c>
      <c r="E7" s="122" t="s">
        <v>592</v>
      </c>
      <c r="F7" s="122" t="s">
        <v>593</v>
      </c>
      <c r="G7" s="122" t="s">
        <v>594</v>
      </c>
      <c r="H7" s="122" t="s">
        <v>595</v>
      </c>
      <c r="I7" s="122" t="s">
        <v>596</v>
      </c>
      <c r="J7" s="122" t="s">
        <v>597</v>
      </c>
      <c r="K7" s="122" t="s">
        <v>598</v>
      </c>
      <c r="L7" s="124" t="s">
        <v>599</v>
      </c>
    </row>
    <row r="8" spans="1:14">
      <c r="A8" s="65"/>
      <c r="B8" s="125"/>
      <c r="C8" s="125"/>
      <c r="D8" s="125"/>
      <c r="E8" s="125"/>
      <c r="F8" s="125"/>
      <c r="G8" s="125"/>
      <c r="H8" s="125"/>
      <c r="I8" s="125"/>
      <c r="J8" s="125"/>
      <c r="K8" s="125"/>
      <c r="L8" s="126"/>
    </row>
    <row r="9" spans="1:14">
      <c r="A9" s="127" t="s">
        <v>600</v>
      </c>
      <c r="B9" s="125">
        <f>SUM(B10:B15)</f>
        <v>78473</v>
      </c>
      <c r="C9" s="128" t="s">
        <v>601</v>
      </c>
      <c r="D9" s="125">
        <f>SUM(D10:D15)</f>
        <v>1080</v>
      </c>
      <c r="E9" s="125">
        <f t="shared" ref="E9:L9" si="0">SUM(E10:E15)</f>
        <v>1085</v>
      </c>
      <c r="F9" s="125">
        <f t="shared" si="0"/>
        <v>4353</v>
      </c>
      <c r="G9" s="125">
        <f t="shared" si="0"/>
        <v>4420</v>
      </c>
      <c r="H9" s="125">
        <f t="shared" si="0"/>
        <v>5929</v>
      </c>
      <c r="I9" s="125">
        <f t="shared" si="0"/>
        <v>6621</v>
      </c>
      <c r="J9" s="125">
        <f t="shared" si="0"/>
        <v>29772</v>
      </c>
      <c r="K9" s="125">
        <f t="shared" si="0"/>
        <v>17158</v>
      </c>
      <c r="L9" s="126">
        <f t="shared" si="0"/>
        <v>8055</v>
      </c>
      <c r="N9" s="129"/>
    </row>
    <row r="10" spans="1:14">
      <c r="A10" s="44" t="s">
        <v>602</v>
      </c>
      <c r="B10" s="125">
        <f>SUM(D10:L10)</f>
        <v>29733</v>
      </c>
      <c r="C10" s="125"/>
      <c r="D10" s="125">
        <v>426</v>
      </c>
      <c r="E10" s="125">
        <v>428</v>
      </c>
      <c r="F10" s="125">
        <v>1649</v>
      </c>
      <c r="G10" s="125">
        <v>1673</v>
      </c>
      <c r="H10" s="125">
        <v>2268</v>
      </c>
      <c r="I10" s="125">
        <v>2527</v>
      </c>
      <c r="J10" s="125">
        <v>11277</v>
      </c>
      <c r="K10" s="125">
        <v>6435</v>
      </c>
      <c r="L10" s="126">
        <v>3050</v>
      </c>
    </row>
    <row r="11" spans="1:14">
      <c r="A11" s="44" t="s">
        <v>1335</v>
      </c>
      <c r="B11" s="125">
        <f t="shared" ref="B11:B27" si="1">SUM(D11:L11)</f>
        <v>29417</v>
      </c>
      <c r="C11" s="125"/>
      <c r="D11" s="125">
        <v>405</v>
      </c>
      <c r="E11" s="125">
        <v>407</v>
      </c>
      <c r="F11" s="125">
        <v>1632</v>
      </c>
      <c r="G11" s="125">
        <v>1657</v>
      </c>
      <c r="H11" s="125">
        <v>2223</v>
      </c>
      <c r="I11" s="125">
        <v>2482</v>
      </c>
      <c r="J11" s="125">
        <v>11160</v>
      </c>
      <c r="K11" s="125">
        <v>6432</v>
      </c>
      <c r="L11" s="126">
        <v>3019</v>
      </c>
    </row>
    <row r="12" spans="1:14">
      <c r="A12" s="44" t="s">
        <v>396</v>
      </c>
      <c r="B12" s="125">
        <f t="shared" si="1"/>
        <v>3987</v>
      </c>
      <c r="C12" s="125"/>
      <c r="D12" s="125">
        <v>55</v>
      </c>
      <c r="E12" s="125">
        <v>56</v>
      </c>
      <c r="F12" s="125">
        <v>221</v>
      </c>
      <c r="G12" s="125">
        <v>225</v>
      </c>
      <c r="H12" s="125">
        <v>301</v>
      </c>
      <c r="I12" s="125">
        <v>336</v>
      </c>
      <c r="J12" s="125">
        <v>1512</v>
      </c>
      <c r="K12" s="125">
        <v>872</v>
      </c>
      <c r="L12" s="126">
        <v>409</v>
      </c>
    </row>
    <row r="13" spans="1:14">
      <c r="A13" s="44" t="s">
        <v>603</v>
      </c>
      <c r="B13" s="125">
        <f t="shared" si="1"/>
        <v>2402</v>
      </c>
      <c r="C13" s="125"/>
      <c r="D13" s="125">
        <v>33</v>
      </c>
      <c r="E13" s="125">
        <v>32</v>
      </c>
      <c r="F13" s="125">
        <v>133</v>
      </c>
      <c r="G13" s="125">
        <v>135</v>
      </c>
      <c r="H13" s="125">
        <v>182</v>
      </c>
      <c r="I13" s="125">
        <v>203</v>
      </c>
      <c r="J13" s="125">
        <v>912</v>
      </c>
      <c r="K13" s="125">
        <v>526</v>
      </c>
      <c r="L13" s="126">
        <v>246</v>
      </c>
    </row>
    <row r="14" spans="1:14">
      <c r="A14" s="44" t="s">
        <v>604</v>
      </c>
      <c r="B14" s="125">
        <f t="shared" si="1"/>
        <v>7448</v>
      </c>
      <c r="C14" s="125"/>
      <c r="D14" s="125">
        <v>86</v>
      </c>
      <c r="E14" s="125">
        <v>86</v>
      </c>
      <c r="F14" s="125">
        <v>413</v>
      </c>
      <c r="G14" s="125">
        <v>421</v>
      </c>
      <c r="H14" s="125">
        <v>541</v>
      </c>
      <c r="I14" s="125">
        <v>610</v>
      </c>
      <c r="J14" s="125">
        <v>2830</v>
      </c>
      <c r="K14" s="125">
        <v>1694</v>
      </c>
      <c r="L14" s="126">
        <v>767</v>
      </c>
    </row>
    <row r="15" spans="1:14">
      <c r="A15" s="44" t="s">
        <v>605</v>
      </c>
      <c r="B15" s="125">
        <f t="shared" si="1"/>
        <v>5486</v>
      </c>
      <c r="C15" s="125"/>
      <c r="D15" s="125">
        <v>75</v>
      </c>
      <c r="E15" s="125">
        <v>76</v>
      </c>
      <c r="F15" s="125">
        <v>305</v>
      </c>
      <c r="G15" s="125">
        <v>309</v>
      </c>
      <c r="H15" s="125">
        <v>414</v>
      </c>
      <c r="I15" s="125">
        <v>463</v>
      </c>
      <c r="J15" s="125">
        <v>2081</v>
      </c>
      <c r="K15" s="125">
        <v>1199</v>
      </c>
      <c r="L15" s="126">
        <v>564</v>
      </c>
    </row>
    <row r="16" spans="1:14">
      <c r="A16" s="44"/>
      <c r="B16" s="130"/>
      <c r="C16" s="130"/>
      <c r="D16" s="130"/>
      <c r="E16" s="130"/>
      <c r="F16" s="130"/>
      <c r="G16" s="130"/>
      <c r="H16" s="130"/>
      <c r="I16" s="130"/>
      <c r="J16" s="130"/>
      <c r="K16" s="130"/>
      <c r="L16" s="131"/>
    </row>
    <row r="17" spans="1:14">
      <c r="A17" s="127" t="s">
        <v>606</v>
      </c>
      <c r="B17" s="125">
        <f t="shared" si="1"/>
        <v>18141</v>
      </c>
      <c r="C17" s="128" t="s">
        <v>601</v>
      </c>
      <c r="D17" s="125">
        <f>SUM(D18:D23)</f>
        <v>246</v>
      </c>
      <c r="E17" s="125">
        <f t="shared" ref="E17:L17" si="2">SUM(E18:E23)</f>
        <v>249</v>
      </c>
      <c r="F17" s="125">
        <f t="shared" si="2"/>
        <v>978</v>
      </c>
      <c r="G17" s="125">
        <f t="shared" si="2"/>
        <v>980</v>
      </c>
      <c r="H17" s="125">
        <f t="shared" si="2"/>
        <v>1208</v>
      </c>
      <c r="I17" s="125">
        <f t="shared" si="2"/>
        <v>1277</v>
      </c>
      <c r="J17" s="125">
        <f t="shared" si="2"/>
        <v>6550</v>
      </c>
      <c r="K17" s="125">
        <f t="shared" si="2"/>
        <v>4745</v>
      </c>
      <c r="L17" s="126">
        <f t="shared" si="2"/>
        <v>1908</v>
      </c>
      <c r="N17" s="129"/>
    </row>
    <row r="18" spans="1:14" ht="12" customHeight="1">
      <c r="A18" s="44" t="s">
        <v>607</v>
      </c>
      <c r="B18" s="125">
        <f t="shared" si="1"/>
        <v>10218</v>
      </c>
      <c r="C18" s="125"/>
      <c r="D18" s="125">
        <v>135</v>
      </c>
      <c r="E18" s="125">
        <v>136</v>
      </c>
      <c r="F18" s="125">
        <v>562</v>
      </c>
      <c r="G18" s="125">
        <v>565</v>
      </c>
      <c r="H18" s="125">
        <v>699</v>
      </c>
      <c r="I18" s="125">
        <v>739</v>
      </c>
      <c r="J18" s="125">
        <v>3666</v>
      </c>
      <c r="K18" s="125">
        <v>2660</v>
      </c>
      <c r="L18" s="126">
        <v>1056</v>
      </c>
    </row>
    <row r="19" spans="1:14" ht="12.75" customHeight="1">
      <c r="A19" s="44" t="s">
        <v>608</v>
      </c>
      <c r="B19" s="125">
        <f t="shared" si="1"/>
        <v>1592</v>
      </c>
      <c r="C19" s="125"/>
      <c r="D19" s="125">
        <v>22</v>
      </c>
      <c r="E19" s="125">
        <v>22</v>
      </c>
      <c r="F19" s="125">
        <v>86</v>
      </c>
      <c r="G19" s="125">
        <v>86</v>
      </c>
      <c r="H19" s="125">
        <v>106</v>
      </c>
      <c r="I19" s="125">
        <v>112</v>
      </c>
      <c r="J19" s="125">
        <v>574</v>
      </c>
      <c r="K19" s="125">
        <v>416</v>
      </c>
      <c r="L19" s="126">
        <v>168</v>
      </c>
    </row>
    <row r="20" spans="1:14" ht="12" customHeight="1">
      <c r="A20" s="44" t="s">
        <v>517</v>
      </c>
      <c r="B20" s="125">
        <f t="shared" si="1"/>
        <v>3580</v>
      </c>
      <c r="C20" s="125"/>
      <c r="D20" s="125">
        <v>49</v>
      </c>
      <c r="E20" s="125">
        <v>49</v>
      </c>
      <c r="F20" s="125">
        <v>194</v>
      </c>
      <c r="G20" s="125">
        <v>193</v>
      </c>
      <c r="H20" s="125">
        <v>238</v>
      </c>
      <c r="I20" s="125">
        <v>252</v>
      </c>
      <c r="J20" s="125">
        <v>1293</v>
      </c>
      <c r="K20" s="125">
        <v>936</v>
      </c>
      <c r="L20" s="126">
        <v>376</v>
      </c>
    </row>
    <row r="21" spans="1:14" ht="12.75" customHeight="1">
      <c r="A21" s="44" t="s">
        <v>609</v>
      </c>
      <c r="B21" s="125">
        <f t="shared" si="1"/>
        <v>1526</v>
      </c>
      <c r="C21" s="125"/>
      <c r="D21" s="125">
        <v>21</v>
      </c>
      <c r="E21" s="125">
        <v>22</v>
      </c>
      <c r="F21" s="125">
        <v>82</v>
      </c>
      <c r="G21" s="125">
        <v>82</v>
      </c>
      <c r="H21" s="125">
        <v>102</v>
      </c>
      <c r="I21" s="125">
        <v>107</v>
      </c>
      <c r="J21" s="125">
        <v>551</v>
      </c>
      <c r="K21" s="125">
        <v>399</v>
      </c>
      <c r="L21" s="126">
        <v>160</v>
      </c>
    </row>
    <row r="22" spans="1:14" ht="14.25" customHeight="1">
      <c r="A22" s="44" t="s">
        <v>610</v>
      </c>
      <c r="B22" s="125">
        <f t="shared" si="1"/>
        <v>806</v>
      </c>
      <c r="C22" s="125"/>
      <c r="D22" s="125">
        <v>10</v>
      </c>
      <c r="E22" s="125">
        <v>10</v>
      </c>
      <c r="F22" s="125">
        <v>43</v>
      </c>
      <c r="G22" s="125">
        <v>44</v>
      </c>
      <c r="H22" s="125">
        <v>54</v>
      </c>
      <c r="I22" s="125">
        <v>57</v>
      </c>
      <c r="J22" s="125">
        <v>291</v>
      </c>
      <c r="K22" s="125">
        <v>211</v>
      </c>
      <c r="L22" s="126">
        <v>86</v>
      </c>
    </row>
    <row r="23" spans="1:14">
      <c r="A23" s="44" t="s">
        <v>611</v>
      </c>
      <c r="B23" s="125">
        <f t="shared" si="1"/>
        <v>419</v>
      </c>
      <c r="C23" s="125"/>
      <c r="D23" s="125">
        <v>9</v>
      </c>
      <c r="E23" s="125">
        <v>10</v>
      </c>
      <c r="F23" s="125">
        <v>11</v>
      </c>
      <c r="G23" s="125">
        <v>10</v>
      </c>
      <c r="H23" s="125">
        <v>9</v>
      </c>
      <c r="I23" s="125">
        <v>10</v>
      </c>
      <c r="J23" s="125">
        <v>175</v>
      </c>
      <c r="K23" s="125">
        <v>123</v>
      </c>
      <c r="L23" s="126">
        <v>62</v>
      </c>
    </row>
    <row r="24" spans="1:14">
      <c r="A24" s="44"/>
      <c r="B24" s="125"/>
      <c r="C24" s="125"/>
      <c r="D24" s="1179"/>
      <c r="E24" s="1179"/>
      <c r="F24" s="1179"/>
      <c r="G24" s="1179"/>
      <c r="H24" s="1179"/>
      <c r="I24" s="1179"/>
      <c r="J24" s="1179"/>
      <c r="K24" s="1179"/>
      <c r="L24" s="1180"/>
    </row>
    <row r="25" spans="1:14">
      <c r="A25" s="127" t="s">
        <v>612</v>
      </c>
      <c r="B25" s="125">
        <f t="shared" si="1"/>
        <v>11112</v>
      </c>
      <c r="C25" s="128" t="s">
        <v>601</v>
      </c>
      <c r="D25" s="125">
        <f>SUM(D26:D27)</f>
        <v>141</v>
      </c>
      <c r="E25" s="125">
        <f t="shared" ref="E25:L25" si="3">SUM(E26:E27)</f>
        <v>144</v>
      </c>
      <c r="F25" s="125">
        <f t="shared" si="3"/>
        <v>595</v>
      </c>
      <c r="G25" s="125">
        <f t="shared" si="3"/>
        <v>602</v>
      </c>
      <c r="H25" s="125">
        <f t="shared" si="3"/>
        <v>805</v>
      </c>
      <c r="I25" s="125">
        <f t="shared" si="3"/>
        <v>887</v>
      </c>
      <c r="J25" s="125">
        <f t="shared" si="3"/>
        <v>3871</v>
      </c>
      <c r="K25" s="125">
        <f t="shared" si="3"/>
        <v>2784</v>
      </c>
      <c r="L25" s="126">
        <f t="shared" si="3"/>
        <v>1283</v>
      </c>
      <c r="N25" s="129"/>
    </row>
    <row r="26" spans="1:14">
      <c r="A26" s="44" t="s">
        <v>613</v>
      </c>
      <c r="B26" s="125">
        <f t="shared" si="1"/>
        <v>9323</v>
      </c>
      <c r="C26" s="125"/>
      <c r="D26" s="125">
        <v>119</v>
      </c>
      <c r="E26" s="125">
        <v>122</v>
      </c>
      <c r="F26" s="125">
        <v>499</v>
      </c>
      <c r="G26" s="125">
        <v>504</v>
      </c>
      <c r="H26" s="125">
        <v>676</v>
      </c>
      <c r="I26" s="125">
        <v>744</v>
      </c>
      <c r="J26" s="125">
        <v>3248</v>
      </c>
      <c r="K26" s="125">
        <v>2334</v>
      </c>
      <c r="L26" s="126">
        <v>1077</v>
      </c>
    </row>
    <row r="27" spans="1:14">
      <c r="A27" s="44" t="s">
        <v>614</v>
      </c>
      <c r="B27" s="125">
        <f t="shared" si="1"/>
        <v>1789</v>
      </c>
      <c r="C27" s="125"/>
      <c r="D27" s="125">
        <v>22</v>
      </c>
      <c r="E27" s="125">
        <v>22</v>
      </c>
      <c r="F27" s="125">
        <v>96</v>
      </c>
      <c r="G27" s="125">
        <v>98</v>
      </c>
      <c r="H27" s="125">
        <v>129</v>
      </c>
      <c r="I27" s="125">
        <v>143</v>
      </c>
      <c r="J27" s="125">
        <v>623</v>
      </c>
      <c r="K27" s="125">
        <v>450</v>
      </c>
      <c r="L27" s="126">
        <v>206</v>
      </c>
    </row>
    <row r="28" spans="1:14">
      <c r="A28" s="44"/>
      <c r="B28" s="125"/>
      <c r="C28" s="125"/>
      <c r="D28" s="125"/>
      <c r="E28" s="125"/>
      <c r="F28" s="125"/>
      <c r="G28" s="125"/>
      <c r="H28" s="125"/>
      <c r="I28" s="125"/>
      <c r="J28" s="125"/>
      <c r="K28" s="125"/>
      <c r="L28" s="126"/>
    </row>
    <row r="29" spans="1:14">
      <c r="A29" s="127" t="s">
        <v>615</v>
      </c>
      <c r="B29" s="125">
        <f t="shared" ref="B29:B44" si="4">SUM(D29:L29)</f>
        <v>8272</v>
      </c>
      <c r="C29" s="128" t="s">
        <v>601</v>
      </c>
      <c r="D29" s="125">
        <f>SUM(D30:D32)</f>
        <v>113</v>
      </c>
      <c r="E29" s="125">
        <f t="shared" ref="E29:L29" si="5">SUM(E30:E32)</f>
        <v>113</v>
      </c>
      <c r="F29" s="125">
        <f t="shared" si="5"/>
        <v>448</v>
      </c>
      <c r="G29" s="125">
        <f t="shared" si="5"/>
        <v>443</v>
      </c>
      <c r="H29" s="125">
        <f t="shared" si="5"/>
        <v>551</v>
      </c>
      <c r="I29" s="125">
        <f t="shared" si="5"/>
        <v>618</v>
      </c>
      <c r="J29" s="125">
        <f t="shared" si="5"/>
        <v>3007</v>
      </c>
      <c r="K29" s="125">
        <f t="shared" si="5"/>
        <v>2003</v>
      </c>
      <c r="L29" s="126">
        <f t="shared" si="5"/>
        <v>976</v>
      </c>
      <c r="N29" s="129"/>
    </row>
    <row r="30" spans="1:14">
      <c r="A30" s="44" t="s">
        <v>616</v>
      </c>
      <c r="B30" s="125">
        <f t="shared" si="4"/>
        <v>6327</v>
      </c>
      <c r="C30" s="125"/>
      <c r="D30" s="125">
        <v>90</v>
      </c>
      <c r="E30" s="125">
        <v>90</v>
      </c>
      <c r="F30" s="125">
        <v>348</v>
      </c>
      <c r="G30" s="125">
        <v>343</v>
      </c>
      <c r="H30" s="125">
        <v>434</v>
      </c>
      <c r="I30" s="125">
        <v>486</v>
      </c>
      <c r="J30" s="125">
        <v>2202</v>
      </c>
      <c r="K30" s="125">
        <v>1577</v>
      </c>
      <c r="L30" s="126">
        <v>757</v>
      </c>
    </row>
    <row r="31" spans="1:14">
      <c r="A31" s="44" t="s">
        <v>617</v>
      </c>
      <c r="B31" s="125">
        <f t="shared" si="4"/>
        <v>1109</v>
      </c>
      <c r="C31" s="125"/>
      <c r="D31" s="125">
        <v>12</v>
      </c>
      <c r="E31" s="125">
        <v>12</v>
      </c>
      <c r="F31" s="125">
        <v>60</v>
      </c>
      <c r="G31" s="125">
        <v>60</v>
      </c>
      <c r="H31" s="125">
        <v>75</v>
      </c>
      <c r="I31" s="125">
        <v>85</v>
      </c>
      <c r="J31" s="125">
        <v>436</v>
      </c>
      <c r="K31" s="125">
        <v>241</v>
      </c>
      <c r="L31" s="126">
        <v>128</v>
      </c>
    </row>
    <row r="32" spans="1:14">
      <c r="A32" s="44" t="s">
        <v>618</v>
      </c>
      <c r="B32" s="125">
        <f t="shared" si="4"/>
        <v>836</v>
      </c>
      <c r="C32" s="125"/>
      <c r="D32" s="125">
        <v>11</v>
      </c>
      <c r="E32" s="125">
        <v>11</v>
      </c>
      <c r="F32" s="125">
        <v>40</v>
      </c>
      <c r="G32" s="125">
        <v>40</v>
      </c>
      <c r="H32" s="125">
        <v>42</v>
      </c>
      <c r="I32" s="125">
        <v>47</v>
      </c>
      <c r="J32" s="125">
        <v>369</v>
      </c>
      <c r="K32" s="125">
        <v>185</v>
      </c>
      <c r="L32" s="126">
        <v>91</v>
      </c>
    </row>
    <row r="33" spans="1:14">
      <c r="A33" s="44"/>
      <c r="B33" s="125"/>
      <c r="C33" s="125"/>
      <c r="D33" s="125"/>
      <c r="E33" s="125"/>
      <c r="F33" s="125"/>
      <c r="G33" s="125"/>
      <c r="H33" s="125"/>
      <c r="I33" s="125"/>
      <c r="J33" s="125"/>
      <c r="K33" s="125"/>
      <c r="L33" s="126"/>
    </row>
    <row r="34" spans="1:14">
      <c r="A34" s="127" t="s">
        <v>619</v>
      </c>
      <c r="B34" s="125">
        <f t="shared" si="4"/>
        <v>115998</v>
      </c>
      <c r="C34" s="128" t="s">
        <v>601</v>
      </c>
      <c r="D34" s="125">
        <f>+D29+D25+D17+D9</f>
        <v>1580</v>
      </c>
      <c r="E34" s="125">
        <f t="shared" ref="E34:L34" si="6">+E29+E25+E17+E9</f>
        <v>1591</v>
      </c>
      <c r="F34" s="125">
        <f t="shared" si="6"/>
        <v>6374</v>
      </c>
      <c r="G34" s="125">
        <f t="shared" si="6"/>
        <v>6445</v>
      </c>
      <c r="H34" s="125">
        <f t="shared" si="6"/>
        <v>8493</v>
      </c>
      <c r="I34" s="125">
        <f t="shared" si="6"/>
        <v>9403</v>
      </c>
      <c r="J34" s="125">
        <f t="shared" si="6"/>
        <v>43200</v>
      </c>
      <c r="K34" s="125">
        <f t="shared" si="6"/>
        <v>26690</v>
      </c>
      <c r="L34" s="126">
        <f t="shared" si="6"/>
        <v>12222</v>
      </c>
      <c r="N34" s="129"/>
    </row>
    <row r="35" spans="1:14">
      <c r="A35" s="44"/>
      <c r="B35" s="125"/>
      <c r="C35" s="125"/>
      <c r="D35" s="125"/>
      <c r="E35" s="125"/>
      <c r="F35" s="125"/>
      <c r="G35" s="125"/>
      <c r="H35" s="125"/>
      <c r="I35" s="125"/>
      <c r="J35" s="125"/>
      <c r="K35" s="125"/>
      <c r="L35" s="126"/>
    </row>
    <row r="36" spans="1:14">
      <c r="A36" s="44"/>
      <c r="B36" s="130"/>
      <c r="C36" s="130"/>
      <c r="D36" s="130"/>
      <c r="E36" s="130"/>
      <c r="F36" s="130"/>
      <c r="G36" s="130"/>
      <c r="H36" s="130"/>
      <c r="I36" s="130"/>
      <c r="J36" s="130"/>
      <c r="K36" s="130"/>
      <c r="L36" s="131"/>
    </row>
    <row r="37" spans="1:14">
      <c r="A37" s="127" t="s">
        <v>488</v>
      </c>
      <c r="B37" s="125">
        <f t="shared" si="4"/>
        <v>80479</v>
      </c>
      <c r="C37" s="128" t="s">
        <v>601</v>
      </c>
      <c r="D37" s="125">
        <f t="shared" ref="D37:L37" si="7">SUM(D38:D41)</f>
        <v>1191</v>
      </c>
      <c r="E37" s="125">
        <f t="shared" si="7"/>
        <v>1219</v>
      </c>
      <c r="F37" s="125">
        <f t="shared" si="7"/>
        <v>4797</v>
      </c>
      <c r="G37" s="125">
        <f t="shared" si="7"/>
        <v>4812</v>
      </c>
      <c r="H37" s="125">
        <f t="shared" si="7"/>
        <v>6044</v>
      </c>
      <c r="I37" s="125">
        <f t="shared" si="7"/>
        <v>6299</v>
      </c>
      <c r="J37" s="125">
        <f t="shared" si="7"/>
        <v>28107</v>
      </c>
      <c r="K37" s="125">
        <f t="shared" si="7"/>
        <v>19272</v>
      </c>
      <c r="L37" s="126">
        <f t="shared" si="7"/>
        <v>8738</v>
      </c>
      <c r="N37" s="129"/>
    </row>
    <row r="38" spans="1:14">
      <c r="A38" s="44" t="s">
        <v>620</v>
      </c>
      <c r="B38" s="125">
        <f t="shared" si="4"/>
        <v>35818</v>
      </c>
      <c r="C38" s="125"/>
      <c r="D38" s="125">
        <v>530</v>
      </c>
      <c r="E38" s="125">
        <v>543</v>
      </c>
      <c r="F38" s="125">
        <v>2135</v>
      </c>
      <c r="G38" s="125">
        <v>2142</v>
      </c>
      <c r="H38" s="125">
        <v>2690</v>
      </c>
      <c r="I38" s="125">
        <v>2803</v>
      </c>
      <c r="J38" s="125">
        <v>12509</v>
      </c>
      <c r="K38" s="125">
        <v>8577</v>
      </c>
      <c r="L38" s="126">
        <v>3889</v>
      </c>
      <c r="M38" s="226"/>
    </row>
    <row r="39" spans="1:14">
      <c r="A39" s="44" t="s">
        <v>731</v>
      </c>
      <c r="B39" s="125">
        <f t="shared" si="4"/>
        <v>33723</v>
      </c>
      <c r="C39" s="125"/>
      <c r="D39" s="125">
        <v>499</v>
      </c>
      <c r="E39" s="125">
        <v>510</v>
      </c>
      <c r="F39" s="125">
        <v>2010</v>
      </c>
      <c r="G39" s="125">
        <v>2016</v>
      </c>
      <c r="H39" s="125">
        <v>2533</v>
      </c>
      <c r="I39" s="125">
        <v>2640</v>
      </c>
      <c r="J39" s="125">
        <v>11778</v>
      </c>
      <c r="K39" s="125">
        <v>8075</v>
      </c>
      <c r="L39" s="126">
        <v>3662</v>
      </c>
      <c r="M39" s="226"/>
    </row>
    <row r="40" spans="1:14">
      <c r="A40" s="44" t="s">
        <v>621</v>
      </c>
      <c r="B40" s="125">
        <f t="shared" si="4"/>
        <v>7164</v>
      </c>
      <c r="C40" s="125"/>
      <c r="D40" s="125">
        <v>106</v>
      </c>
      <c r="E40" s="125">
        <v>108</v>
      </c>
      <c r="F40" s="125">
        <v>427</v>
      </c>
      <c r="G40" s="125">
        <v>428</v>
      </c>
      <c r="H40" s="125">
        <v>538</v>
      </c>
      <c r="I40" s="125">
        <v>561</v>
      </c>
      <c r="J40" s="125">
        <v>2502</v>
      </c>
      <c r="K40" s="125">
        <v>1717</v>
      </c>
      <c r="L40" s="126">
        <v>777</v>
      </c>
      <c r="M40" s="226"/>
    </row>
    <row r="41" spans="1:14">
      <c r="A41" s="44" t="s">
        <v>397</v>
      </c>
      <c r="B41" s="125">
        <f t="shared" si="4"/>
        <v>3774</v>
      </c>
      <c r="C41" s="125"/>
      <c r="D41" s="125">
        <v>56</v>
      </c>
      <c r="E41" s="125">
        <v>58</v>
      </c>
      <c r="F41" s="125">
        <v>225</v>
      </c>
      <c r="G41" s="125">
        <v>226</v>
      </c>
      <c r="H41" s="125">
        <v>283</v>
      </c>
      <c r="I41" s="125">
        <v>295</v>
      </c>
      <c r="J41" s="125">
        <v>1318</v>
      </c>
      <c r="K41" s="125">
        <v>903</v>
      </c>
      <c r="L41" s="126">
        <v>410</v>
      </c>
      <c r="M41" s="226"/>
    </row>
    <row r="42" spans="1:14">
      <c r="A42" s="44"/>
      <c r="B42" s="130"/>
      <c r="C42" s="130"/>
      <c r="D42" s="130"/>
      <c r="E42" s="130"/>
      <c r="F42" s="130"/>
      <c r="G42" s="130"/>
      <c r="H42" s="130"/>
      <c r="I42" s="130"/>
      <c r="J42" s="130"/>
      <c r="K42" s="130"/>
      <c r="L42" s="131"/>
    </row>
    <row r="43" spans="1:14">
      <c r="A43" s="127" t="s">
        <v>622</v>
      </c>
      <c r="B43" s="125">
        <f t="shared" si="4"/>
        <v>17716</v>
      </c>
      <c r="C43" s="128" t="s">
        <v>601</v>
      </c>
      <c r="D43" s="125">
        <f>SUM(D44:D54)</f>
        <v>256</v>
      </c>
      <c r="E43" s="125">
        <f t="shared" ref="E43:L43" si="8">SUM(E44:E54)</f>
        <v>258</v>
      </c>
      <c r="F43" s="125">
        <f t="shared" si="8"/>
        <v>1027</v>
      </c>
      <c r="G43" s="125">
        <f t="shared" si="8"/>
        <v>1029</v>
      </c>
      <c r="H43" s="125">
        <f t="shared" si="8"/>
        <v>1278</v>
      </c>
      <c r="I43" s="125">
        <f t="shared" si="8"/>
        <v>1339</v>
      </c>
      <c r="J43" s="125">
        <f t="shared" si="8"/>
        <v>5907</v>
      </c>
      <c r="K43" s="125">
        <f t="shared" si="8"/>
        <v>4399</v>
      </c>
      <c r="L43" s="126">
        <f t="shared" si="8"/>
        <v>2223</v>
      </c>
      <c r="N43" s="129"/>
    </row>
    <row r="44" spans="1:14">
      <c r="A44" s="44" t="s">
        <v>623</v>
      </c>
      <c r="B44" s="132">
        <f t="shared" si="4"/>
        <v>6082</v>
      </c>
      <c r="C44" s="125"/>
      <c r="D44" s="125">
        <v>83</v>
      </c>
      <c r="E44" s="125">
        <v>85</v>
      </c>
      <c r="F44" s="125">
        <v>315</v>
      </c>
      <c r="G44" s="125">
        <v>316</v>
      </c>
      <c r="H44" s="125">
        <v>426</v>
      </c>
      <c r="I44" s="125">
        <v>452</v>
      </c>
      <c r="J44" s="125">
        <v>2055</v>
      </c>
      <c r="K44" s="125">
        <v>1560</v>
      </c>
      <c r="L44" s="126">
        <v>790</v>
      </c>
      <c r="M44" s="227"/>
    </row>
    <row r="45" spans="1:14">
      <c r="A45" s="44" t="s">
        <v>624</v>
      </c>
      <c r="B45" s="132">
        <f t="shared" ref="B45:B59" si="9">SUM(D45:L45)</f>
        <v>2559</v>
      </c>
      <c r="C45" s="125"/>
      <c r="D45" s="125">
        <v>37</v>
      </c>
      <c r="E45" s="125">
        <v>38</v>
      </c>
      <c r="F45" s="125">
        <v>148</v>
      </c>
      <c r="G45" s="125">
        <v>149</v>
      </c>
      <c r="H45" s="125">
        <v>185</v>
      </c>
      <c r="I45" s="125">
        <v>193</v>
      </c>
      <c r="J45" s="125">
        <v>853</v>
      </c>
      <c r="K45" s="125">
        <v>635</v>
      </c>
      <c r="L45" s="126">
        <v>321</v>
      </c>
      <c r="M45" s="227"/>
    </row>
    <row r="46" spans="1:14">
      <c r="A46" s="44" t="s">
        <v>625</v>
      </c>
      <c r="B46" s="132">
        <f t="shared" si="9"/>
        <v>1169</v>
      </c>
      <c r="C46" s="125"/>
      <c r="D46" s="125">
        <v>16</v>
      </c>
      <c r="E46" s="125">
        <v>16</v>
      </c>
      <c r="F46" s="125">
        <v>77</v>
      </c>
      <c r="G46" s="125">
        <v>77</v>
      </c>
      <c r="H46" s="125">
        <v>90</v>
      </c>
      <c r="I46" s="125">
        <v>93</v>
      </c>
      <c r="J46" s="125">
        <v>390</v>
      </c>
      <c r="K46" s="125">
        <v>265</v>
      </c>
      <c r="L46" s="126">
        <v>145</v>
      </c>
      <c r="M46" s="227"/>
    </row>
    <row r="47" spans="1:14">
      <c r="A47" s="44" t="s">
        <v>626</v>
      </c>
      <c r="B47" s="132">
        <f t="shared" si="9"/>
        <v>1275</v>
      </c>
      <c r="C47" s="125"/>
      <c r="D47" s="125">
        <v>21</v>
      </c>
      <c r="E47" s="125">
        <v>20</v>
      </c>
      <c r="F47" s="125">
        <v>80</v>
      </c>
      <c r="G47" s="125">
        <v>80</v>
      </c>
      <c r="H47" s="125">
        <v>91</v>
      </c>
      <c r="I47" s="125">
        <v>95</v>
      </c>
      <c r="J47" s="125">
        <v>420</v>
      </c>
      <c r="K47" s="125">
        <v>318</v>
      </c>
      <c r="L47" s="126">
        <v>150</v>
      </c>
      <c r="M47" s="227"/>
    </row>
    <row r="48" spans="1:14">
      <c r="A48" s="44" t="s">
        <v>627</v>
      </c>
      <c r="B48" s="132">
        <f t="shared" si="9"/>
        <v>1054</v>
      </c>
      <c r="C48" s="125"/>
      <c r="D48" s="125">
        <v>15</v>
      </c>
      <c r="E48" s="125">
        <v>16</v>
      </c>
      <c r="F48" s="125">
        <v>61</v>
      </c>
      <c r="G48" s="125">
        <v>61</v>
      </c>
      <c r="H48" s="125">
        <v>76</v>
      </c>
      <c r="I48" s="125">
        <v>80</v>
      </c>
      <c r="J48" s="125">
        <v>352</v>
      </c>
      <c r="K48" s="125">
        <v>261</v>
      </c>
      <c r="L48" s="126">
        <v>132</v>
      </c>
      <c r="M48" s="227"/>
    </row>
    <row r="49" spans="1:14">
      <c r="A49" s="44" t="s">
        <v>628</v>
      </c>
      <c r="B49" s="132">
        <f t="shared" si="9"/>
        <v>1143</v>
      </c>
      <c r="C49" s="125"/>
      <c r="D49" s="125">
        <v>17</v>
      </c>
      <c r="E49" s="125">
        <v>16</v>
      </c>
      <c r="F49" s="125">
        <v>75</v>
      </c>
      <c r="G49" s="125">
        <v>75</v>
      </c>
      <c r="H49" s="125">
        <v>90</v>
      </c>
      <c r="I49" s="125">
        <v>94</v>
      </c>
      <c r="J49" s="125">
        <v>384</v>
      </c>
      <c r="K49" s="125">
        <v>262</v>
      </c>
      <c r="L49" s="126">
        <v>130</v>
      </c>
      <c r="M49" s="227"/>
    </row>
    <row r="50" spans="1:14">
      <c r="A50" s="44" t="s">
        <v>629</v>
      </c>
      <c r="B50" s="132">
        <f t="shared" si="9"/>
        <v>1293</v>
      </c>
      <c r="C50" s="125"/>
      <c r="D50" s="125">
        <v>19</v>
      </c>
      <c r="E50" s="125">
        <v>18</v>
      </c>
      <c r="F50" s="125">
        <v>75</v>
      </c>
      <c r="G50" s="125">
        <v>75</v>
      </c>
      <c r="H50" s="125">
        <v>93</v>
      </c>
      <c r="I50" s="125">
        <v>98</v>
      </c>
      <c r="J50" s="125">
        <v>431</v>
      </c>
      <c r="K50" s="125">
        <v>322</v>
      </c>
      <c r="L50" s="126">
        <v>162</v>
      </c>
      <c r="M50" s="227"/>
    </row>
    <row r="51" spans="1:14">
      <c r="A51" s="44" t="s">
        <v>630</v>
      </c>
      <c r="B51" s="132">
        <f t="shared" si="9"/>
        <v>1135</v>
      </c>
      <c r="C51" s="125"/>
      <c r="D51" s="125">
        <v>16</v>
      </c>
      <c r="E51" s="125">
        <v>16</v>
      </c>
      <c r="F51" s="125">
        <v>66</v>
      </c>
      <c r="G51" s="125">
        <v>66</v>
      </c>
      <c r="H51" s="125">
        <v>82</v>
      </c>
      <c r="I51" s="125">
        <v>86</v>
      </c>
      <c r="J51" s="125">
        <v>378</v>
      </c>
      <c r="K51" s="125">
        <v>282</v>
      </c>
      <c r="L51" s="126">
        <v>143</v>
      </c>
      <c r="M51" s="227"/>
    </row>
    <row r="52" spans="1:14">
      <c r="A52" s="44" t="s">
        <v>631</v>
      </c>
      <c r="B52" s="132">
        <f t="shared" si="9"/>
        <v>1316</v>
      </c>
      <c r="C52" s="125"/>
      <c r="D52" s="125">
        <v>20</v>
      </c>
      <c r="E52" s="125">
        <v>21</v>
      </c>
      <c r="F52" s="125">
        <v>81</v>
      </c>
      <c r="G52" s="125">
        <v>81</v>
      </c>
      <c r="H52" s="125">
        <v>93</v>
      </c>
      <c r="I52" s="125">
        <v>94</v>
      </c>
      <c r="J52" s="125">
        <v>425</v>
      </c>
      <c r="K52" s="125">
        <v>336</v>
      </c>
      <c r="L52" s="126">
        <v>165</v>
      </c>
      <c r="M52" s="227"/>
    </row>
    <row r="53" spans="1:14">
      <c r="A53" s="44" t="s">
        <v>632</v>
      </c>
      <c r="B53" s="125">
        <f t="shared" si="9"/>
        <v>310</v>
      </c>
      <c r="C53" s="125"/>
      <c r="D53" s="125">
        <v>6</v>
      </c>
      <c r="E53" s="125">
        <v>6</v>
      </c>
      <c r="F53" s="125">
        <v>22</v>
      </c>
      <c r="G53" s="125">
        <v>22</v>
      </c>
      <c r="H53" s="125">
        <v>24</v>
      </c>
      <c r="I53" s="125">
        <v>25</v>
      </c>
      <c r="J53" s="125">
        <v>92</v>
      </c>
      <c r="K53" s="125">
        <v>73</v>
      </c>
      <c r="L53" s="126">
        <v>40</v>
      </c>
      <c r="M53" s="227"/>
    </row>
    <row r="54" spans="1:14">
      <c r="A54" s="44" t="s">
        <v>633</v>
      </c>
      <c r="B54" s="125">
        <f t="shared" si="9"/>
        <v>380</v>
      </c>
      <c r="C54" s="125"/>
      <c r="D54" s="125">
        <v>6</v>
      </c>
      <c r="E54" s="125">
        <v>6</v>
      </c>
      <c r="F54" s="125">
        <v>27</v>
      </c>
      <c r="G54" s="125">
        <v>27</v>
      </c>
      <c r="H54" s="125">
        <v>28</v>
      </c>
      <c r="I54" s="125">
        <v>29</v>
      </c>
      <c r="J54" s="125">
        <v>127</v>
      </c>
      <c r="K54" s="125">
        <v>85</v>
      </c>
      <c r="L54" s="126">
        <v>45</v>
      </c>
      <c r="M54" s="227"/>
    </row>
    <row r="55" spans="1:14">
      <c r="A55" s="44"/>
      <c r="B55" s="1085"/>
      <c r="C55" s="1085"/>
      <c r="D55" s="1085"/>
      <c r="E55" s="1085"/>
      <c r="F55" s="1085"/>
      <c r="G55" s="1085"/>
      <c r="H55" s="1085"/>
      <c r="I55" s="1085"/>
      <c r="J55" s="1085"/>
      <c r="K55" s="1085"/>
      <c r="L55" s="1086"/>
      <c r="M55" s="119"/>
    </row>
    <row r="56" spans="1:14">
      <c r="A56" s="127" t="s">
        <v>634</v>
      </c>
      <c r="B56" s="125">
        <f t="shared" si="9"/>
        <v>14864</v>
      </c>
      <c r="C56" s="128" t="s">
        <v>601</v>
      </c>
      <c r="D56" s="125">
        <f>SUM(D57:D59)</f>
        <v>217</v>
      </c>
      <c r="E56" s="125">
        <f t="shared" ref="E56:L56" si="10">SUM(E57:E59)</f>
        <v>217</v>
      </c>
      <c r="F56" s="125">
        <f t="shared" si="10"/>
        <v>874</v>
      </c>
      <c r="G56" s="125">
        <f t="shared" si="10"/>
        <v>894</v>
      </c>
      <c r="H56" s="125">
        <f t="shared" si="10"/>
        <v>1140</v>
      </c>
      <c r="I56" s="125">
        <f t="shared" si="10"/>
        <v>1185</v>
      </c>
      <c r="J56" s="125">
        <f t="shared" si="10"/>
        <v>5152</v>
      </c>
      <c r="K56" s="125">
        <f t="shared" si="10"/>
        <v>3518</v>
      </c>
      <c r="L56" s="126">
        <f t="shared" si="10"/>
        <v>1667</v>
      </c>
      <c r="M56" s="133"/>
      <c r="N56" s="129"/>
    </row>
    <row r="57" spans="1:14">
      <c r="A57" s="44" t="s">
        <v>635</v>
      </c>
      <c r="B57" s="125">
        <f t="shared" si="9"/>
        <v>11801</v>
      </c>
      <c r="C57" s="125"/>
      <c r="D57" s="125">
        <v>172</v>
      </c>
      <c r="E57" s="125">
        <v>173</v>
      </c>
      <c r="F57" s="125">
        <v>694</v>
      </c>
      <c r="G57" s="125">
        <v>710</v>
      </c>
      <c r="H57" s="125">
        <v>905</v>
      </c>
      <c r="I57" s="125">
        <v>941</v>
      </c>
      <c r="J57" s="125">
        <v>4090</v>
      </c>
      <c r="K57" s="125">
        <v>2793</v>
      </c>
      <c r="L57" s="126">
        <v>1323</v>
      </c>
      <c r="M57" s="227"/>
    </row>
    <row r="58" spans="1:14">
      <c r="A58" s="44" t="s">
        <v>398</v>
      </c>
      <c r="B58" s="125">
        <f t="shared" si="9"/>
        <v>1746</v>
      </c>
      <c r="C58" s="125"/>
      <c r="D58" s="125">
        <v>26</v>
      </c>
      <c r="E58" s="125">
        <v>24</v>
      </c>
      <c r="F58" s="125">
        <v>103</v>
      </c>
      <c r="G58" s="125">
        <v>105</v>
      </c>
      <c r="H58" s="125">
        <v>134</v>
      </c>
      <c r="I58" s="125">
        <v>139</v>
      </c>
      <c r="J58" s="125">
        <v>605</v>
      </c>
      <c r="K58" s="125">
        <v>414</v>
      </c>
      <c r="L58" s="126">
        <v>196</v>
      </c>
      <c r="M58" s="227"/>
    </row>
    <row r="59" spans="1:14">
      <c r="A59" s="44" t="s">
        <v>636</v>
      </c>
      <c r="B59" s="125">
        <f t="shared" si="9"/>
        <v>1317</v>
      </c>
      <c r="C59" s="125"/>
      <c r="D59" s="125">
        <v>19</v>
      </c>
      <c r="E59" s="125">
        <v>20</v>
      </c>
      <c r="F59" s="125">
        <v>77</v>
      </c>
      <c r="G59" s="125">
        <v>79</v>
      </c>
      <c r="H59" s="125">
        <v>101</v>
      </c>
      <c r="I59" s="125">
        <v>105</v>
      </c>
      <c r="J59" s="125">
        <v>457</v>
      </c>
      <c r="K59" s="125">
        <v>311</v>
      </c>
      <c r="L59" s="126">
        <v>148</v>
      </c>
      <c r="M59" s="227"/>
    </row>
    <row r="60" spans="1:14">
      <c r="A60" s="44"/>
      <c r="B60" s="125"/>
      <c r="C60" s="125"/>
      <c r="D60" s="125"/>
      <c r="E60" s="125"/>
      <c r="F60" s="125"/>
      <c r="G60" s="125"/>
      <c r="H60" s="125"/>
      <c r="I60" s="125"/>
      <c r="J60" s="125"/>
      <c r="K60" s="125"/>
      <c r="L60" s="126"/>
    </row>
    <row r="61" spans="1:14">
      <c r="A61" s="127" t="s">
        <v>637</v>
      </c>
      <c r="B61" s="125">
        <f t="shared" ref="B61:B76" si="11">SUM(D61:L61)</f>
        <v>7682</v>
      </c>
      <c r="C61" s="128" t="s">
        <v>601</v>
      </c>
      <c r="D61" s="125">
        <f>SUM(D62:D65)</f>
        <v>118</v>
      </c>
      <c r="E61" s="125">
        <f t="shared" ref="E61:L61" si="12">SUM(E62:E65)</f>
        <v>121</v>
      </c>
      <c r="F61" s="125">
        <f t="shared" si="12"/>
        <v>468</v>
      </c>
      <c r="G61" s="125">
        <f t="shared" si="12"/>
        <v>469</v>
      </c>
      <c r="H61" s="125">
        <f t="shared" si="12"/>
        <v>561</v>
      </c>
      <c r="I61" s="125">
        <f t="shared" si="12"/>
        <v>582</v>
      </c>
      <c r="J61" s="125">
        <f t="shared" si="12"/>
        <v>2768</v>
      </c>
      <c r="K61" s="125">
        <f t="shared" si="12"/>
        <v>1786</v>
      </c>
      <c r="L61" s="126">
        <f t="shared" si="12"/>
        <v>809</v>
      </c>
      <c r="N61" s="129"/>
    </row>
    <row r="62" spans="1:14">
      <c r="A62" s="44" t="s">
        <v>638</v>
      </c>
      <c r="B62" s="125">
        <f t="shared" si="11"/>
        <v>5266</v>
      </c>
      <c r="C62" s="125"/>
      <c r="D62" s="125">
        <v>77</v>
      </c>
      <c r="E62" s="125">
        <v>77</v>
      </c>
      <c r="F62" s="125">
        <v>313</v>
      </c>
      <c r="G62" s="125">
        <v>315</v>
      </c>
      <c r="H62" s="125">
        <v>387</v>
      </c>
      <c r="I62" s="125">
        <v>403</v>
      </c>
      <c r="J62" s="125">
        <v>1851</v>
      </c>
      <c r="K62" s="125">
        <v>1290</v>
      </c>
      <c r="L62" s="126">
        <v>553</v>
      </c>
      <c r="M62" s="227"/>
    </row>
    <row r="63" spans="1:14">
      <c r="A63" s="44" t="s">
        <v>639</v>
      </c>
      <c r="B63" s="125">
        <f t="shared" si="11"/>
        <v>587</v>
      </c>
      <c r="C63" s="125"/>
      <c r="D63" s="125">
        <v>11</v>
      </c>
      <c r="E63" s="125">
        <v>12</v>
      </c>
      <c r="F63" s="125">
        <v>35</v>
      </c>
      <c r="G63" s="125">
        <v>35</v>
      </c>
      <c r="H63" s="125">
        <v>36</v>
      </c>
      <c r="I63" s="125">
        <v>38</v>
      </c>
      <c r="J63" s="125">
        <v>232</v>
      </c>
      <c r="K63" s="125">
        <v>128</v>
      </c>
      <c r="L63" s="126">
        <v>60</v>
      </c>
      <c r="M63" s="227"/>
    </row>
    <row r="64" spans="1:14">
      <c r="A64" s="44" t="s">
        <v>640</v>
      </c>
      <c r="B64" s="125">
        <f t="shared" si="11"/>
        <v>786</v>
      </c>
      <c r="C64" s="125"/>
      <c r="D64" s="125">
        <v>13</v>
      </c>
      <c r="E64" s="125">
        <v>14</v>
      </c>
      <c r="F64" s="125">
        <v>49</v>
      </c>
      <c r="G64" s="125">
        <v>49</v>
      </c>
      <c r="H64" s="125">
        <v>59</v>
      </c>
      <c r="I64" s="125">
        <v>60</v>
      </c>
      <c r="J64" s="125">
        <v>299</v>
      </c>
      <c r="K64" s="125">
        <v>159</v>
      </c>
      <c r="L64" s="126">
        <v>84</v>
      </c>
      <c r="M64" s="227"/>
    </row>
    <row r="65" spans="1:21">
      <c r="A65" s="44" t="s">
        <v>641</v>
      </c>
      <c r="B65" s="125">
        <f t="shared" si="11"/>
        <v>1043</v>
      </c>
      <c r="C65" s="125"/>
      <c r="D65" s="125">
        <v>17</v>
      </c>
      <c r="E65" s="125">
        <v>18</v>
      </c>
      <c r="F65" s="125">
        <v>71</v>
      </c>
      <c r="G65" s="125">
        <v>70</v>
      </c>
      <c r="H65" s="125">
        <v>79</v>
      </c>
      <c r="I65" s="125">
        <v>81</v>
      </c>
      <c r="J65" s="125">
        <v>386</v>
      </c>
      <c r="K65" s="125">
        <v>209</v>
      </c>
      <c r="L65" s="126">
        <v>112</v>
      </c>
      <c r="M65" s="227"/>
    </row>
    <row r="66" spans="1:21">
      <c r="A66" s="44"/>
      <c r="B66" s="125"/>
      <c r="C66" s="125"/>
      <c r="D66" s="125"/>
      <c r="E66" s="125"/>
      <c r="F66" s="125"/>
      <c r="G66" s="125"/>
      <c r="H66" s="125"/>
      <c r="I66" s="125"/>
      <c r="J66" s="125"/>
      <c r="K66" s="125"/>
      <c r="L66" s="126"/>
    </row>
    <row r="67" spans="1:21">
      <c r="A67" s="127" t="s">
        <v>642</v>
      </c>
      <c r="B67" s="125">
        <f t="shared" si="11"/>
        <v>23810</v>
      </c>
      <c r="C67" s="128" t="s">
        <v>601</v>
      </c>
      <c r="D67" s="125">
        <f>SUM(D68:D71)</f>
        <v>345</v>
      </c>
      <c r="E67" s="125">
        <f t="shared" ref="E67:L67" si="13">SUM(E68:E71)</f>
        <v>341</v>
      </c>
      <c r="F67" s="125">
        <f t="shared" si="13"/>
        <v>1386</v>
      </c>
      <c r="G67" s="125">
        <f t="shared" si="13"/>
        <v>1386</v>
      </c>
      <c r="H67" s="125">
        <f t="shared" si="13"/>
        <v>1697</v>
      </c>
      <c r="I67" s="125">
        <f t="shared" si="13"/>
        <v>1755</v>
      </c>
      <c r="J67" s="125">
        <f t="shared" si="13"/>
        <v>8571</v>
      </c>
      <c r="K67" s="125">
        <f t="shared" si="13"/>
        <v>5773</v>
      </c>
      <c r="L67" s="126">
        <f t="shared" si="13"/>
        <v>2556</v>
      </c>
      <c r="N67" s="129"/>
    </row>
    <row r="68" spans="1:21">
      <c r="A68" s="44" t="s">
        <v>643</v>
      </c>
      <c r="B68" s="125">
        <f t="shared" si="11"/>
        <v>19457</v>
      </c>
      <c r="C68" s="125"/>
      <c r="D68" s="125">
        <v>288</v>
      </c>
      <c r="E68" s="125">
        <v>287</v>
      </c>
      <c r="F68" s="125">
        <v>1187</v>
      </c>
      <c r="G68" s="125">
        <v>1187</v>
      </c>
      <c r="H68" s="125">
        <v>1451</v>
      </c>
      <c r="I68" s="125">
        <v>1490</v>
      </c>
      <c r="J68" s="125">
        <v>6834</v>
      </c>
      <c r="K68" s="125">
        <v>4677</v>
      </c>
      <c r="L68" s="126">
        <v>2056</v>
      </c>
      <c r="M68" s="226"/>
    </row>
    <row r="69" spans="1:21">
      <c r="A69" s="44" t="s">
        <v>644</v>
      </c>
      <c r="B69" s="125">
        <f t="shared" si="11"/>
        <v>480</v>
      </c>
      <c r="C69" s="125"/>
      <c r="D69" s="125">
        <v>10</v>
      </c>
      <c r="E69" s="125">
        <v>10</v>
      </c>
      <c r="F69" s="125">
        <v>22</v>
      </c>
      <c r="G69" s="125">
        <v>22</v>
      </c>
      <c r="H69" s="125">
        <v>24</v>
      </c>
      <c r="I69" s="125">
        <v>26</v>
      </c>
      <c r="J69" s="125">
        <v>173</v>
      </c>
      <c r="K69" s="125">
        <v>127</v>
      </c>
      <c r="L69" s="126">
        <v>66</v>
      </c>
      <c r="M69" s="226"/>
    </row>
    <row r="70" spans="1:21">
      <c r="A70" s="44" t="s">
        <v>645</v>
      </c>
      <c r="B70" s="125">
        <f t="shared" si="11"/>
        <v>2487</v>
      </c>
      <c r="C70" s="125"/>
      <c r="D70" s="125">
        <v>30</v>
      </c>
      <c r="E70" s="125">
        <v>29</v>
      </c>
      <c r="F70" s="125">
        <v>114</v>
      </c>
      <c r="G70" s="125">
        <v>113</v>
      </c>
      <c r="H70" s="125">
        <v>147</v>
      </c>
      <c r="I70" s="125">
        <v>159</v>
      </c>
      <c r="J70" s="125">
        <v>998</v>
      </c>
      <c r="K70" s="125">
        <v>628</v>
      </c>
      <c r="L70" s="126">
        <v>269</v>
      </c>
      <c r="M70" s="226"/>
    </row>
    <row r="71" spans="1:21">
      <c r="A71" s="44" t="s">
        <v>646</v>
      </c>
      <c r="B71" s="125">
        <f t="shared" si="11"/>
        <v>1386</v>
      </c>
      <c r="C71" s="125"/>
      <c r="D71" s="125">
        <v>17</v>
      </c>
      <c r="E71" s="125">
        <v>15</v>
      </c>
      <c r="F71" s="125">
        <v>63</v>
      </c>
      <c r="G71" s="125">
        <v>64</v>
      </c>
      <c r="H71" s="125">
        <v>75</v>
      </c>
      <c r="I71" s="125">
        <v>80</v>
      </c>
      <c r="J71" s="125">
        <v>566</v>
      </c>
      <c r="K71" s="125">
        <v>341</v>
      </c>
      <c r="L71" s="126">
        <v>165</v>
      </c>
      <c r="M71" s="226"/>
    </row>
    <row r="72" spans="1:21">
      <c r="A72" s="44"/>
      <c r="B72" s="125"/>
      <c r="C72" s="125"/>
      <c r="D72" s="125"/>
      <c r="E72" s="125"/>
      <c r="F72" s="125"/>
      <c r="G72" s="125"/>
      <c r="H72" s="125"/>
      <c r="I72" s="125"/>
      <c r="J72" s="125"/>
      <c r="K72" s="125"/>
      <c r="L72" s="126"/>
    </row>
    <row r="73" spans="1:21">
      <c r="A73" s="127" t="s">
        <v>647</v>
      </c>
      <c r="B73" s="125">
        <f t="shared" si="11"/>
        <v>13419</v>
      </c>
      <c r="C73" s="128" t="s">
        <v>601</v>
      </c>
      <c r="D73" s="125">
        <f>SUM(D74:D83)</f>
        <v>191</v>
      </c>
      <c r="E73" s="125">
        <f t="shared" ref="E73:L73" si="14">SUM(E74:E83)</f>
        <v>191</v>
      </c>
      <c r="F73" s="125">
        <f t="shared" si="14"/>
        <v>779</v>
      </c>
      <c r="G73" s="125">
        <f t="shared" si="14"/>
        <v>781</v>
      </c>
      <c r="H73" s="125">
        <f t="shared" si="14"/>
        <v>984</v>
      </c>
      <c r="I73" s="125">
        <f t="shared" si="14"/>
        <v>1023</v>
      </c>
      <c r="J73" s="125">
        <f t="shared" si="14"/>
        <v>4735</v>
      </c>
      <c r="K73" s="125">
        <f t="shared" si="14"/>
        <v>3108</v>
      </c>
      <c r="L73" s="126">
        <f t="shared" si="14"/>
        <v>1627</v>
      </c>
      <c r="N73" s="129"/>
    </row>
    <row r="74" spans="1:21">
      <c r="A74" s="44" t="s">
        <v>648</v>
      </c>
      <c r="B74" s="125">
        <f t="shared" si="11"/>
        <v>7245</v>
      </c>
      <c r="C74" s="125"/>
      <c r="D74" s="125">
        <v>93</v>
      </c>
      <c r="E74" s="125">
        <v>89</v>
      </c>
      <c r="F74" s="125">
        <v>392</v>
      </c>
      <c r="G74" s="125">
        <v>397</v>
      </c>
      <c r="H74" s="125">
        <v>552</v>
      </c>
      <c r="I74" s="125">
        <v>560</v>
      </c>
      <c r="J74" s="125">
        <v>2479</v>
      </c>
      <c r="K74" s="125">
        <v>1765</v>
      </c>
      <c r="L74" s="126">
        <v>918</v>
      </c>
      <c r="M74" s="227"/>
    </row>
    <row r="75" spans="1:21">
      <c r="A75" s="44" t="s">
        <v>328</v>
      </c>
      <c r="B75" s="125">
        <f t="shared" si="11"/>
        <v>1051</v>
      </c>
      <c r="C75" s="125"/>
      <c r="D75" s="125">
        <v>18</v>
      </c>
      <c r="E75" s="125">
        <v>23</v>
      </c>
      <c r="F75" s="125">
        <v>92</v>
      </c>
      <c r="G75" s="125">
        <v>92</v>
      </c>
      <c r="H75" s="125">
        <v>96</v>
      </c>
      <c r="I75" s="125">
        <v>99</v>
      </c>
      <c r="J75" s="125">
        <v>313</v>
      </c>
      <c r="K75" s="125">
        <v>207</v>
      </c>
      <c r="L75" s="126">
        <v>111</v>
      </c>
      <c r="M75" s="125"/>
      <c r="N75" s="125"/>
      <c r="O75" s="125"/>
      <c r="P75" s="125"/>
      <c r="Q75" s="125"/>
      <c r="R75" s="125"/>
      <c r="S75" s="125"/>
      <c r="T75" s="125"/>
      <c r="U75" s="125"/>
    </row>
    <row r="76" spans="1:21">
      <c r="A76" s="44" t="s">
        <v>649</v>
      </c>
      <c r="B76" s="125">
        <f t="shared" si="11"/>
        <v>1169</v>
      </c>
      <c r="C76" s="125"/>
      <c r="D76" s="125">
        <v>17</v>
      </c>
      <c r="E76" s="125">
        <v>17</v>
      </c>
      <c r="F76" s="125">
        <v>68</v>
      </c>
      <c r="G76" s="125">
        <v>67</v>
      </c>
      <c r="H76" s="125">
        <v>73</v>
      </c>
      <c r="I76" s="125">
        <v>74</v>
      </c>
      <c r="J76" s="125">
        <v>440</v>
      </c>
      <c r="K76" s="125">
        <v>273</v>
      </c>
      <c r="L76" s="126">
        <v>140</v>
      </c>
      <c r="M76" s="227"/>
    </row>
    <row r="77" spans="1:21">
      <c r="A77" s="44" t="s">
        <v>650</v>
      </c>
      <c r="B77" s="125">
        <f t="shared" ref="B77:B87" si="15">SUM(D77:L77)</f>
        <v>308</v>
      </c>
      <c r="C77" s="125"/>
      <c r="D77" s="125">
        <v>6</v>
      </c>
      <c r="E77" s="125">
        <v>6</v>
      </c>
      <c r="F77" s="125">
        <v>17</v>
      </c>
      <c r="G77" s="125">
        <v>17</v>
      </c>
      <c r="H77" s="125">
        <v>18</v>
      </c>
      <c r="I77" s="125">
        <v>19</v>
      </c>
      <c r="J77" s="125">
        <v>113</v>
      </c>
      <c r="K77" s="125">
        <v>73</v>
      </c>
      <c r="L77" s="126">
        <v>39</v>
      </c>
      <c r="M77" s="227"/>
    </row>
    <row r="78" spans="1:21">
      <c r="A78" s="44" t="s">
        <v>651</v>
      </c>
      <c r="B78" s="125">
        <f t="shared" si="15"/>
        <v>686</v>
      </c>
      <c r="C78" s="125"/>
      <c r="D78" s="125">
        <v>11</v>
      </c>
      <c r="E78" s="125">
        <v>11</v>
      </c>
      <c r="F78" s="125">
        <v>40</v>
      </c>
      <c r="G78" s="125">
        <v>40</v>
      </c>
      <c r="H78" s="125">
        <v>45</v>
      </c>
      <c r="I78" s="125">
        <v>47</v>
      </c>
      <c r="J78" s="125">
        <v>270</v>
      </c>
      <c r="K78" s="125">
        <v>145</v>
      </c>
      <c r="L78" s="126">
        <v>77</v>
      </c>
      <c r="M78" s="227"/>
    </row>
    <row r="79" spans="1:21">
      <c r="A79" s="44" t="s">
        <v>652</v>
      </c>
      <c r="B79" s="125">
        <f t="shared" si="15"/>
        <v>590</v>
      </c>
      <c r="C79" s="125"/>
      <c r="D79" s="125">
        <v>10</v>
      </c>
      <c r="E79" s="125">
        <v>10</v>
      </c>
      <c r="F79" s="125">
        <v>33</v>
      </c>
      <c r="G79" s="125">
        <v>33</v>
      </c>
      <c r="H79" s="125">
        <v>39</v>
      </c>
      <c r="I79" s="125">
        <v>47</v>
      </c>
      <c r="J79" s="125">
        <v>230</v>
      </c>
      <c r="K79" s="125">
        <v>122</v>
      </c>
      <c r="L79" s="126">
        <v>66</v>
      </c>
      <c r="M79" s="227"/>
    </row>
    <row r="80" spans="1:21">
      <c r="A80" s="44" t="s">
        <v>653</v>
      </c>
      <c r="B80" s="125">
        <f t="shared" si="15"/>
        <v>299</v>
      </c>
      <c r="C80" s="125"/>
      <c r="D80" s="125">
        <v>6</v>
      </c>
      <c r="E80" s="125">
        <v>6</v>
      </c>
      <c r="F80" s="125">
        <v>16</v>
      </c>
      <c r="G80" s="125">
        <v>16</v>
      </c>
      <c r="H80" s="125">
        <v>17</v>
      </c>
      <c r="I80" s="125">
        <v>22</v>
      </c>
      <c r="J80" s="125">
        <v>114</v>
      </c>
      <c r="K80" s="125">
        <v>66</v>
      </c>
      <c r="L80" s="126">
        <v>36</v>
      </c>
      <c r="M80" s="227"/>
    </row>
    <row r="81" spans="1:14">
      <c r="A81" s="44" t="s">
        <v>654</v>
      </c>
      <c r="B81" s="125">
        <f t="shared" si="15"/>
        <v>244</v>
      </c>
      <c r="C81" s="125"/>
      <c r="D81" s="125">
        <v>5</v>
      </c>
      <c r="E81" s="125">
        <v>5</v>
      </c>
      <c r="F81" s="125">
        <v>14</v>
      </c>
      <c r="G81" s="125">
        <v>14</v>
      </c>
      <c r="H81" s="125">
        <v>15</v>
      </c>
      <c r="I81" s="125">
        <v>20</v>
      </c>
      <c r="J81" s="125">
        <v>88</v>
      </c>
      <c r="K81" s="125">
        <v>54</v>
      </c>
      <c r="L81" s="126">
        <v>29</v>
      </c>
      <c r="M81" s="227"/>
    </row>
    <row r="82" spans="1:14">
      <c r="A82" s="44" t="s">
        <v>655</v>
      </c>
      <c r="B82" s="125">
        <f t="shared" si="15"/>
        <v>1589</v>
      </c>
      <c r="C82" s="125"/>
      <c r="D82" s="125">
        <v>20</v>
      </c>
      <c r="E82" s="125">
        <v>19</v>
      </c>
      <c r="F82" s="125">
        <v>93</v>
      </c>
      <c r="G82" s="125">
        <v>91</v>
      </c>
      <c r="H82" s="125">
        <v>113</v>
      </c>
      <c r="I82" s="125">
        <v>116</v>
      </c>
      <c r="J82" s="125">
        <v>604</v>
      </c>
      <c r="K82" s="125">
        <v>351</v>
      </c>
      <c r="L82" s="126">
        <v>182</v>
      </c>
      <c r="M82" s="227"/>
    </row>
    <row r="83" spans="1:14">
      <c r="A83" s="44" t="s">
        <v>656</v>
      </c>
      <c r="B83" s="125">
        <f t="shared" si="15"/>
        <v>238</v>
      </c>
      <c r="C83" s="125"/>
      <c r="D83" s="125">
        <v>5</v>
      </c>
      <c r="E83" s="125">
        <v>5</v>
      </c>
      <c r="F83" s="125">
        <v>14</v>
      </c>
      <c r="G83" s="125">
        <v>14</v>
      </c>
      <c r="H83" s="125">
        <v>16</v>
      </c>
      <c r="I83" s="125">
        <v>19</v>
      </c>
      <c r="J83" s="125">
        <v>84</v>
      </c>
      <c r="K83" s="125">
        <v>52</v>
      </c>
      <c r="L83" s="126">
        <v>29</v>
      </c>
      <c r="M83" s="227"/>
    </row>
    <row r="84" spans="1:14">
      <c r="A84" s="44"/>
      <c r="B84" s="125"/>
      <c r="C84" s="125"/>
      <c r="D84" s="1085"/>
      <c r="E84" s="1085"/>
      <c r="F84" s="1085"/>
      <c r="G84" s="1085"/>
      <c r="H84" s="1085"/>
      <c r="I84" s="1085"/>
      <c r="J84" s="1085"/>
      <c r="K84" s="1085"/>
      <c r="L84" s="1086"/>
      <c r="M84" s="227"/>
    </row>
    <row r="85" spans="1:14">
      <c r="A85" s="127" t="s">
        <v>657</v>
      </c>
      <c r="B85" s="125">
        <f t="shared" si="15"/>
        <v>157970</v>
      </c>
      <c r="C85" s="128" t="s">
        <v>601</v>
      </c>
      <c r="D85" s="125">
        <f t="shared" ref="D85:L85" si="16">+D73+D67+D61+D56+D43+D37</f>
        <v>2318</v>
      </c>
      <c r="E85" s="125">
        <f t="shared" si="16"/>
        <v>2347</v>
      </c>
      <c r="F85" s="125">
        <f t="shared" si="16"/>
        <v>9331</v>
      </c>
      <c r="G85" s="125">
        <f t="shared" si="16"/>
        <v>9371</v>
      </c>
      <c r="H85" s="125">
        <f t="shared" si="16"/>
        <v>11704</v>
      </c>
      <c r="I85" s="125">
        <f t="shared" si="16"/>
        <v>12183</v>
      </c>
      <c r="J85" s="125">
        <f t="shared" si="16"/>
        <v>55240</v>
      </c>
      <c r="K85" s="125">
        <f t="shared" si="16"/>
        <v>37856</v>
      </c>
      <c r="L85" s="126">
        <f t="shared" si="16"/>
        <v>17620</v>
      </c>
      <c r="N85" s="129"/>
    </row>
    <row r="86" spans="1:14">
      <c r="A86" s="44"/>
      <c r="B86" s="125"/>
      <c r="C86" s="125"/>
      <c r="D86" s="125"/>
      <c r="E86" s="125"/>
      <c r="F86" s="125"/>
      <c r="G86" s="125"/>
      <c r="H86" s="125"/>
      <c r="I86" s="125"/>
      <c r="J86" s="125"/>
      <c r="K86" s="125"/>
      <c r="L86" s="126"/>
    </row>
    <row r="87" spans="1:14" ht="18.75" customHeight="1">
      <c r="A87" s="134" t="s">
        <v>658</v>
      </c>
      <c r="B87" s="135">
        <f t="shared" si="15"/>
        <v>273968</v>
      </c>
      <c r="C87" s="136" t="s">
        <v>601</v>
      </c>
      <c r="D87" s="135">
        <f t="shared" ref="D87:L87" si="17">+D34+D85</f>
        <v>3898</v>
      </c>
      <c r="E87" s="135">
        <f t="shared" si="17"/>
        <v>3938</v>
      </c>
      <c r="F87" s="135">
        <f t="shared" si="17"/>
        <v>15705</v>
      </c>
      <c r="G87" s="135">
        <f t="shared" si="17"/>
        <v>15816</v>
      </c>
      <c r="H87" s="135">
        <f t="shared" si="17"/>
        <v>20197</v>
      </c>
      <c r="I87" s="135">
        <f t="shared" si="17"/>
        <v>21586</v>
      </c>
      <c r="J87" s="135">
        <f t="shared" si="17"/>
        <v>98440</v>
      </c>
      <c r="K87" s="135">
        <f t="shared" si="17"/>
        <v>64546</v>
      </c>
      <c r="L87" s="137">
        <f t="shared" si="17"/>
        <v>29842</v>
      </c>
      <c r="N87" s="129"/>
    </row>
    <row r="88" spans="1:14">
      <c r="A88" s="218" t="s">
        <v>1366</v>
      </c>
    </row>
    <row r="89" spans="1:14">
      <c r="B89" s="129"/>
      <c r="D89" s="138"/>
      <c r="E89" s="138"/>
      <c r="F89" s="138"/>
      <c r="G89" s="138"/>
      <c r="H89" s="138"/>
      <c r="I89" s="138"/>
      <c r="J89" s="138"/>
      <c r="K89" s="138"/>
      <c r="L89" s="138"/>
    </row>
    <row r="90" spans="1:14">
      <c r="B90" s="129"/>
      <c r="D90" s="138"/>
      <c r="E90" s="138"/>
      <c r="F90" s="138"/>
      <c r="G90" s="138"/>
      <c r="H90" s="138"/>
      <c r="I90" s="138"/>
      <c r="J90" s="138"/>
      <c r="K90" s="138"/>
      <c r="L90" s="138"/>
    </row>
    <row r="91" spans="1:14">
      <c r="D91" s="119"/>
      <c r="F91" s="139"/>
      <c r="H91" s="119"/>
      <c r="I91" s="119"/>
    </row>
  </sheetData>
  <phoneticPr fontId="19" type="noConversion"/>
  <pageMargins left="0.98425196850393704" right="0.59055118110236227" top="0.59055118110236227" bottom="0.59055118110236227" header="0.51181102362204722" footer="0.51181102362204722"/>
  <pageSetup paperSize="5" scale="75" orientation="portrait" horizontalDpi="300" verticalDpi="300" r:id="rId1"/>
  <headerFooter alignWithMargins="0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/>
  <dimension ref="A1:AA31"/>
  <sheetViews>
    <sheetView showGridLines="0" topLeftCell="F7" zoomScale="75" workbookViewId="0">
      <selection activeCell="X12" sqref="X12"/>
    </sheetView>
  </sheetViews>
  <sheetFormatPr baseColWidth="10" defaultColWidth="12.5703125" defaultRowHeight="12.75"/>
  <cols>
    <col min="1" max="1" width="22.140625" style="837" customWidth="1"/>
    <col min="2" max="2" width="9.42578125" style="837" customWidth="1"/>
    <col min="3" max="3" width="8.140625" style="837" customWidth="1"/>
    <col min="4" max="4" width="8.28515625" style="837" customWidth="1"/>
    <col min="5" max="9" width="8.140625" style="837" customWidth="1"/>
    <col min="10" max="10" width="7" style="837" customWidth="1"/>
    <col min="11" max="12" width="8.140625" style="837" customWidth="1"/>
    <col min="13" max="13" width="9.28515625" style="837" customWidth="1"/>
    <col min="14" max="14" width="8.28515625" style="837" customWidth="1"/>
    <col min="15" max="17" width="8.140625" style="837" customWidth="1"/>
    <col min="18" max="21" width="9.42578125" style="837" customWidth="1"/>
    <col min="22" max="22" width="8.28515625" style="837" customWidth="1"/>
    <col min="23" max="23" width="8.85546875" style="837" customWidth="1"/>
    <col min="24" max="24" width="8.5703125" style="837" customWidth="1"/>
    <col min="25" max="25" width="9.5703125" style="837" customWidth="1"/>
    <col min="26" max="26" width="10.85546875" style="775" customWidth="1"/>
    <col min="27" max="27" width="9.28515625" style="775" customWidth="1"/>
    <col min="28" max="16384" width="12.5703125" style="775"/>
  </cols>
  <sheetData>
    <row r="1" spans="1:27">
      <c r="A1" s="772" t="s">
        <v>192</v>
      </c>
      <c r="B1" s="772"/>
      <c r="C1" s="773"/>
      <c r="D1" s="773"/>
      <c r="E1" s="773"/>
      <c r="F1" s="773"/>
      <c r="G1" s="773"/>
      <c r="H1" s="773"/>
      <c r="I1" s="773"/>
      <c r="J1" s="773"/>
      <c r="K1" s="774"/>
      <c r="L1" s="773"/>
      <c r="M1" s="773"/>
      <c r="N1" s="773"/>
      <c r="O1" s="773"/>
      <c r="P1" s="773"/>
      <c r="Q1" s="773"/>
      <c r="R1" s="773"/>
      <c r="S1" s="773"/>
      <c r="T1" s="773"/>
      <c r="U1" s="773"/>
      <c r="V1" s="773"/>
      <c r="W1" s="773"/>
      <c r="X1" s="773"/>
      <c r="Y1" s="773"/>
    </row>
    <row r="2" spans="1:27">
      <c r="A2" s="772"/>
      <c r="B2" s="772"/>
      <c r="C2" s="773"/>
      <c r="D2" s="773"/>
      <c r="E2" s="773"/>
      <c r="F2" s="773"/>
      <c r="G2" s="773"/>
      <c r="H2" s="773"/>
      <c r="I2" s="773"/>
      <c r="J2" s="773"/>
      <c r="K2" s="773"/>
      <c r="L2" s="773"/>
      <c r="M2" s="773"/>
      <c r="N2" s="773"/>
      <c r="O2" s="773"/>
      <c r="P2" s="773"/>
      <c r="Q2" s="773"/>
      <c r="R2" s="773"/>
      <c r="S2" s="773"/>
      <c r="T2" s="773"/>
      <c r="U2" s="773"/>
      <c r="V2" s="773"/>
      <c r="W2" s="773"/>
      <c r="X2" s="773"/>
      <c r="Y2" s="773"/>
    </row>
    <row r="3" spans="1:27">
      <c r="A3" s="772" t="str">
        <f>+'86'!A3</f>
        <v>SERVICIO DE SALUD   ACONCAGUA   2014</v>
      </c>
      <c r="B3" s="772"/>
      <c r="C3" s="773"/>
      <c r="D3" s="773"/>
      <c r="E3" s="773"/>
      <c r="F3" s="773"/>
      <c r="G3" s="773"/>
      <c r="H3" s="773"/>
      <c r="I3" s="773"/>
      <c r="J3" s="773"/>
      <c r="K3" s="773"/>
      <c r="L3" s="773"/>
      <c r="M3" s="773"/>
      <c r="N3" s="773"/>
      <c r="O3" s="773"/>
      <c r="P3" s="773"/>
      <c r="Q3" s="773"/>
      <c r="R3" s="773"/>
      <c r="S3" s="773"/>
      <c r="T3" s="773"/>
      <c r="U3" s="773"/>
      <c r="V3" s="773"/>
      <c r="W3" s="773"/>
      <c r="X3" s="773"/>
      <c r="Y3" s="773"/>
    </row>
    <row r="4" spans="1:27">
      <c r="A4" s="773"/>
      <c r="B4" s="773"/>
      <c r="C4" s="773"/>
      <c r="D4" s="773"/>
      <c r="E4" s="773"/>
      <c r="F4" s="773"/>
      <c r="G4" s="773"/>
      <c r="H4" s="773"/>
      <c r="I4" s="773"/>
      <c r="J4" s="773"/>
      <c r="K4" s="773"/>
      <c r="L4" s="773"/>
      <c r="M4" s="773"/>
      <c r="N4" s="773"/>
      <c r="O4" s="773"/>
      <c r="P4" s="773"/>
      <c r="Q4" s="773"/>
      <c r="R4" s="773"/>
      <c r="S4" s="773"/>
      <c r="T4" s="773"/>
      <c r="U4" s="773"/>
      <c r="V4" s="773"/>
      <c r="W4" s="773"/>
      <c r="X4" s="773"/>
      <c r="Y4" s="773"/>
    </row>
    <row r="5" spans="1:27">
      <c r="A5" s="772"/>
      <c r="B5" s="772"/>
      <c r="C5" s="773"/>
      <c r="D5" s="773"/>
      <c r="E5" s="773"/>
      <c r="F5" s="773"/>
      <c r="G5" s="773"/>
      <c r="H5" s="773"/>
      <c r="I5" s="773"/>
      <c r="J5" s="773"/>
      <c r="K5" s="773"/>
      <c r="L5" s="773"/>
      <c r="M5" s="773"/>
      <c r="N5" s="773"/>
      <c r="O5" s="773"/>
      <c r="P5" s="773"/>
      <c r="Q5" s="773"/>
      <c r="R5" s="773"/>
      <c r="S5" s="773"/>
      <c r="T5" s="773"/>
      <c r="U5" s="773"/>
      <c r="V5" s="773"/>
      <c r="W5" s="773"/>
      <c r="X5" s="773"/>
      <c r="Y5" s="773"/>
    </row>
    <row r="6" spans="1:27">
      <c r="A6" s="773"/>
      <c r="B6" s="773"/>
      <c r="C6" s="773"/>
      <c r="D6" s="773"/>
      <c r="E6" s="773"/>
      <c r="F6" s="773"/>
      <c r="G6" s="773"/>
      <c r="H6" s="773"/>
      <c r="I6" s="773"/>
      <c r="J6" s="773"/>
      <c r="K6" s="773"/>
      <c r="L6" s="773"/>
      <c r="M6" s="773"/>
      <c r="N6" s="773"/>
      <c r="O6" s="773"/>
      <c r="P6" s="773"/>
      <c r="Q6" s="773"/>
      <c r="R6" s="773"/>
      <c r="S6" s="773"/>
      <c r="T6" s="773"/>
      <c r="U6" s="773"/>
      <c r="V6" s="773"/>
      <c r="W6" s="773"/>
      <c r="X6" s="773"/>
      <c r="Y6" s="773"/>
    </row>
    <row r="7" spans="1:27">
      <c r="A7" s="773"/>
      <c r="B7" s="773"/>
      <c r="C7" s="773"/>
      <c r="D7" s="773"/>
      <c r="E7" s="773"/>
      <c r="F7" s="773"/>
      <c r="G7" s="773"/>
      <c r="H7" s="773"/>
      <c r="I7" s="773"/>
      <c r="J7" s="773"/>
      <c r="K7" s="773"/>
      <c r="L7" s="773"/>
      <c r="M7" s="773"/>
      <c r="N7" s="773"/>
      <c r="O7" s="773"/>
      <c r="P7" s="773"/>
      <c r="Q7" s="1089"/>
      <c r="R7" s="773"/>
      <c r="S7" s="773"/>
      <c r="T7" s="773"/>
      <c r="U7" s="773"/>
      <c r="V7" s="773"/>
      <c r="W7" s="773"/>
      <c r="X7" s="773"/>
      <c r="Y7" s="773"/>
    </row>
    <row r="8" spans="1:27" ht="15.75">
      <c r="A8" s="777"/>
      <c r="B8" s="777"/>
      <c r="C8" s="777"/>
      <c r="D8" s="777"/>
      <c r="E8" s="777"/>
      <c r="F8" s="777"/>
      <c r="G8" s="777"/>
      <c r="H8" s="777"/>
      <c r="I8" s="777"/>
      <c r="J8" s="777"/>
      <c r="K8" s="777"/>
      <c r="L8" s="777"/>
      <c r="M8" s="777"/>
      <c r="N8" s="777"/>
      <c r="O8" s="777"/>
      <c r="P8" s="777"/>
      <c r="Q8" s="777"/>
      <c r="R8" s="777"/>
      <c r="S8" s="777"/>
      <c r="T8" s="777"/>
      <c r="U8" s="777"/>
      <c r="V8" s="777"/>
      <c r="W8" s="777"/>
      <c r="X8" s="777"/>
      <c r="Y8" s="777"/>
      <c r="Z8" s="776"/>
      <c r="AA8" s="776"/>
    </row>
    <row r="9" spans="1:27" s="788" customFormat="1" ht="21.75" customHeight="1">
      <c r="A9" s="778"/>
      <c r="B9" s="778"/>
      <c r="C9" s="779"/>
      <c r="D9" s="780"/>
      <c r="E9" s="1290" t="s">
        <v>153</v>
      </c>
      <c r="F9" s="1290"/>
      <c r="G9" s="1290"/>
      <c r="H9" s="1290"/>
      <c r="I9" s="1290"/>
      <c r="J9" s="1290"/>
      <c r="K9" s="1290"/>
      <c r="L9" s="1290"/>
      <c r="M9" s="1290"/>
      <c r="N9" s="1290"/>
      <c r="O9" s="1290"/>
      <c r="P9" s="781"/>
      <c r="Q9" s="1288" t="s">
        <v>154</v>
      </c>
      <c r="R9" s="782" t="s">
        <v>155</v>
      </c>
      <c r="S9" s="783"/>
      <c r="T9" s="784" t="s">
        <v>156</v>
      </c>
      <c r="U9" s="785"/>
      <c r="V9" s="782" t="s">
        <v>157</v>
      </c>
      <c r="W9" s="786"/>
      <c r="X9" s="786"/>
      <c r="Y9" s="783"/>
      <c r="Z9" s="787"/>
      <c r="AA9" s="787"/>
    </row>
    <row r="10" spans="1:27" s="788" customFormat="1" ht="19.5" customHeight="1">
      <c r="A10" s="789" t="s">
        <v>158</v>
      </c>
      <c r="B10" s="1189" t="s">
        <v>1472</v>
      </c>
      <c r="C10" s="790"/>
      <c r="D10" s="791" t="s">
        <v>159</v>
      </c>
      <c r="E10" s="792" t="s">
        <v>160</v>
      </c>
      <c r="F10" s="793"/>
      <c r="G10" s="793"/>
      <c r="H10" s="793"/>
      <c r="I10" s="793"/>
      <c r="J10" s="793"/>
      <c r="K10" s="794"/>
      <c r="L10" s="795" t="s">
        <v>161</v>
      </c>
      <c r="M10" s="795"/>
      <c r="N10" s="795"/>
      <c r="O10" s="795"/>
      <c r="P10" s="791" t="s">
        <v>159</v>
      </c>
      <c r="Q10" s="1289"/>
      <c r="R10" s="796"/>
      <c r="S10" s="797"/>
      <c r="T10" s="798"/>
      <c r="U10" s="798"/>
      <c r="V10" s="799"/>
      <c r="W10" s="800"/>
      <c r="X10" s="800"/>
      <c r="Y10" s="801"/>
      <c r="Z10" s="787"/>
      <c r="AA10" s="787"/>
    </row>
    <row r="11" spans="1:27" s="788" customFormat="1" ht="36" customHeight="1">
      <c r="A11" s="789" t="s">
        <v>162</v>
      </c>
      <c r="B11" s="1189" t="s">
        <v>1473</v>
      </c>
      <c r="C11" s="802" t="s">
        <v>163</v>
      </c>
      <c r="D11" s="802" t="s">
        <v>164</v>
      </c>
      <c r="E11" s="803" t="s">
        <v>1159</v>
      </c>
      <c r="F11" s="804" t="s">
        <v>1157</v>
      </c>
      <c r="G11" s="804" t="s">
        <v>165</v>
      </c>
      <c r="H11" s="805" t="s">
        <v>166</v>
      </c>
      <c r="I11" s="805" t="s">
        <v>167</v>
      </c>
      <c r="J11" s="806" t="s">
        <v>243</v>
      </c>
      <c r="K11" s="804" t="s">
        <v>571</v>
      </c>
      <c r="L11" s="807" t="s">
        <v>168</v>
      </c>
      <c r="M11" s="805" t="s">
        <v>169</v>
      </c>
      <c r="N11" s="808" t="s">
        <v>170</v>
      </c>
      <c r="O11" s="804" t="s">
        <v>571</v>
      </c>
      <c r="P11" s="802" t="s">
        <v>171</v>
      </c>
      <c r="Q11" s="809" t="s">
        <v>172</v>
      </c>
      <c r="R11" s="810" t="s">
        <v>173</v>
      </c>
      <c r="S11" s="804" t="s">
        <v>174</v>
      </c>
      <c r="T11" s="804" t="s">
        <v>571</v>
      </c>
      <c r="U11" s="811" t="s">
        <v>175</v>
      </c>
      <c r="V11" s="805" t="s">
        <v>176</v>
      </c>
      <c r="W11" s="805" t="s">
        <v>177</v>
      </c>
      <c r="X11" s="812" t="s">
        <v>178</v>
      </c>
      <c r="Y11" s="813" t="s">
        <v>179</v>
      </c>
      <c r="Z11" s="787"/>
      <c r="AA11" s="787"/>
    </row>
    <row r="12" spans="1:27" ht="23.25" customHeight="1">
      <c r="A12" s="814" t="s">
        <v>690</v>
      </c>
      <c r="B12" s="1191"/>
      <c r="C12" s="815">
        <f>SUM(C13:C25)</f>
        <v>28</v>
      </c>
      <c r="D12" s="815">
        <f t="shared" ref="D12:U12" si="0">SUM(D13:D25)</f>
        <v>12</v>
      </c>
      <c r="E12" s="815">
        <f t="shared" si="0"/>
        <v>609</v>
      </c>
      <c r="F12" s="815">
        <f t="shared" si="0"/>
        <v>0</v>
      </c>
      <c r="G12" s="815">
        <f t="shared" si="0"/>
        <v>0</v>
      </c>
      <c r="H12" s="815">
        <f t="shared" si="0"/>
        <v>0</v>
      </c>
      <c r="I12" s="815">
        <f t="shared" si="0"/>
        <v>0</v>
      </c>
      <c r="J12" s="815">
        <f t="shared" si="0"/>
        <v>0</v>
      </c>
      <c r="K12" s="815">
        <f t="shared" si="0"/>
        <v>609</v>
      </c>
      <c r="L12" s="815">
        <f t="shared" si="0"/>
        <v>564</v>
      </c>
      <c r="M12" s="815">
        <f t="shared" si="0"/>
        <v>0</v>
      </c>
      <c r="N12" s="815">
        <f t="shared" si="0"/>
        <v>44</v>
      </c>
      <c r="O12" s="815">
        <f t="shared" si="0"/>
        <v>608</v>
      </c>
      <c r="P12" s="815">
        <f t="shared" si="0"/>
        <v>13</v>
      </c>
      <c r="Q12" s="815">
        <f t="shared" si="0"/>
        <v>5</v>
      </c>
      <c r="R12" s="815">
        <f t="shared" si="0"/>
        <v>10248</v>
      </c>
      <c r="S12" s="815">
        <f t="shared" si="0"/>
        <v>5779</v>
      </c>
      <c r="T12" s="815">
        <f t="shared" si="0"/>
        <v>4979</v>
      </c>
      <c r="U12" s="815">
        <f t="shared" si="0"/>
        <v>4960</v>
      </c>
      <c r="V12" s="817">
        <f>S12/R12*100</f>
        <v>56.391491022638562</v>
      </c>
      <c r="W12" s="818">
        <f>+T12/O12</f>
        <v>8.1891447368421044</v>
      </c>
      <c r="X12" s="1197">
        <f>+O12/(R12/30.4)</f>
        <v>1.803590944574551</v>
      </c>
      <c r="Y12" s="820">
        <f>(+R12-S12)/O12</f>
        <v>7.3503289473684212</v>
      </c>
      <c r="Z12" s="776"/>
      <c r="AA12" s="776"/>
    </row>
    <row r="13" spans="1:27" ht="23.25" customHeight="1">
      <c r="A13" s="1184" t="s">
        <v>1474</v>
      </c>
      <c r="B13" s="789">
        <v>403</v>
      </c>
      <c r="C13" s="843">
        <v>28</v>
      </c>
      <c r="D13" s="823">
        <v>12</v>
      </c>
      <c r="E13" s="843">
        <v>609</v>
      </c>
      <c r="F13" s="824"/>
      <c r="G13" s="824"/>
      <c r="H13" s="824"/>
      <c r="I13" s="824"/>
      <c r="J13" s="824"/>
      <c r="K13" s="816">
        <f>SUM(E13:J13)</f>
        <v>609</v>
      </c>
      <c r="L13" s="824">
        <v>564</v>
      </c>
      <c r="M13" s="843"/>
      <c r="N13" s="824">
        <v>44</v>
      </c>
      <c r="O13" s="816">
        <f>SUM(L13:N13)</f>
        <v>608</v>
      </c>
      <c r="P13" s="825">
        <f>SUM(D13,K13)-O13</f>
        <v>13</v>
      </c>
      <c r="Q13" s="824">
        <v>5</v>
      </c>
      <c r="R13" s="824">
        <v>10248</v>
      </c>
      <c r="S13" s="843">
        <v>5779</v>
      </c>
      <c r="T13" s="824">
        <v>4979</v>
      </c>
      <c r="U13" s="843">
        <v>4960</v>
      </c>
      <c r="V13" s="817">
        <f>S13/R13*100</f>
        <v>56.391491022638562</v>
      </c>
      <c r="W13" s="818">
        <f>+T13/O13</f>
        <v>8.1891447368421044</v>
      </c>
      <c r="X13" s="819">
        <f>+O13/(R13/30.4)</f>
        <v>1.803590944574551</v>
      </c>
      <c r="Y13" s="820">
        <f>(+R13-S13)/O13</f>
        <v>7.3503289473684212</v>
      </c>
      <c r="Z13" s="776"/>
      <c r="AA13" s="776"/>
    </row>
    <row r="14" spans="1:27" ht="23.25" customHeight="1">
      <c r="A14" s="1184" t="s">
        <v>1475</v>
      </c>
      <c r="B14" s="789">
        <v>404</v>
      </c>
      <c r="C14" s="816"/>
      <c r="D14" s="825"/>
      <c r="E14" s="816"/>
      <c r="F14" s="825"/>
      <c r="G14" s="825"/>
      <c r="H14" s="825"/>
      <c r="I14" s="825"/>
      <c r="J14" s="825"/>
      <c r="K14" s="816"/>
      <c r="L14" s="825"/>
      <c r="M14" s="816"/>
      <c r="N14" s="825"/>
      <c r="O14" s="816"/>
      <c r="P14" s="825"/>
      <c r="Q14" s="825"/>
      <c r="R14" s="825"/>
      <c r="S14" s="816"/>
      <c r="T14" s="825"/>
      <c r="U14" s="816"/>
      <c r="V14" s="817"/>
      <c r="W14" s="818"/>
      <c r="X14" s="819"/>
      <c r="Y14" s="820"/>
      <c r="Z14" s="776"/>
      <c r="AA14" s="776"/>
    </row>
    <row r="15" spans="1:27" ht="23.25" customHeight="1">
      <c r="A15" s="821" t="s">
        <v>180</v>
      </c>
      <c r="B15" s="789">
        <v>416</v>
      </c>
      <c r="C15" s="822"/>
      <c r="D15" s="823"/>
      <c r="E15" s="843"/>
      <c r="F15" s="826"/>
      <c r="G15" s="826"/>
      <c r="H15" s="826"/>
      <c r="I15" s="826"/>
      <c r="J15" s="824"/>
      <c r="K15" s="816"/>
      <c r="L15" s="824"/>
      <c r="M15" s="843"/>
      <c r="N15" s="824"/>
      <c r="O15" s="816"/>
      <c r="P15" s="825"/>
      <c r="Q15" s="824"/>
      <c r="R15" s="824"/>
      <c r="S15" s="843"/>
      <c r="T15" s="824"/>
      <c r="U15" s="843"/>
      <c r="V15" s="817"/>
      <c r="W15" s="818"/>
      <c r="X15" s="819"/>
      <c r="Y15" s="820"/>
      <c r="Z15" s="776"/>
      <c r="AA15" s="776"/>
    </row>
    <row r="16" spans="1:27" ht="23.25" customHeight="1">
      <c r="A16" s="1184" t="s">
        <v>1476</v>
      </c>
      <c r="B16" s="789">
        <v>407</v>
      </c>
      <c r="C16" s="822"/>
      <c r="D16" s="824"/>
      <c r="E16" s="843"/>
      <c r="F16" s="824"/>
      <c r="G16" s="824"/>
      <c r="H16" s="824"/>
      <c r="I16" s="824"/>
      <c r="J16" s="824"/>
      <c r="K16" s="816"/>
      <c r="L16" s="824"/>
      <c r="M16" s="843"/>
      <c r="N16" s="824"/>
      <c r="O16" s="816"/>
      <c r="P16" s="825"/>
      <c r="Q16" s="824"/>
      <c r="R16" s="824"/>
      <c r="S16" s="843"/>
      <c r="T16" s="824"/>
      <c r="U16" s="843"/>
      <c r="V16" s="817"/>
      <c r="W16" s="818"/>
      <c r="X16" s="819"/>
      <c r="Y16" s="820"/>
      <c r="Z16" s="776"/>
      <c r="AA16" s="776"/>
    </row>
    <row r="17" spans="1:27" ht="23.25" customHeight="1">
      <c r="A17" s="1184" t="s">
        <v>1477</v>
      </c>
      <c r="B17" s="789">
        <v>409</v>
      </c>
      <c r="C17" s="822"/>
      <c r="D17" s="824"/>
      <c r="E17" s="843"/>
      <c r="F17" s="824"/>
      <c r="G17" s="824"/>
      <c r="H17" s="824"/>
      <c r="I17" s="824"/>
      <c r="J17" s="824"/>
      <c r="K17" s="816"/>
      <c r="L17" s="824"/>
      <c r="M17" s="843"/>
      <c r="N17" s="824"/>
      <c r="O17" s="816"/>
      <c r="P17" s="825"/>
      <c r="Q17" s="824"/>
      <c r="R17" s="824"/>
      <c r="S17" s="843"/>
      <c r="T17" s="824"/>
      <c r="U17" s="843"/>
      <c r="V17" s="817"/>
      <c r="W17" s="818"/>
      <c r="X17" s="819"/>
      <c r="Y17" s="820"/>
      <c r="Z17" s="776"/>
      <c r="AA17" s="776"/>
    </row>
    <row r="18" spans="1:27" ht="23.25" customHeight="1">
      <c r="A18" s="821" t="s">
        <v>181</v>
      </c>
      <c r="B18" s="789">
        <v>413</v>
      </c>
      <c r="C18" s="822"/>
      <c r="D18" s="823"/>
      <c r="E18" s="843"/>
      <c r="F18" s="824"/>
      <c r="G18" s="824"/>
      <c r="H18" s="824"/>
      <c r="I18" s="824"/>
      <c r="J18" s="824"/>
      <c r="K18" s="816"/>
      <c r="L18" s="823"/>
      <c r="M18" s="822"/>
      <c r="N18" s="823"/>
      <c r="O18" s="816"/>
      <c r="P18" s="825"/>
      <c r="Q18" s="824"/>
      <c r="R18" s="823"/>
      <c r="S18" s="822"/>
      <c r="T18" s="823"/>
      <c r="U18" s="822"/>
      <c r="V18" s="817"/>
      <c r="W18" s="818"/>
      <c r="X18" s="819"/>
      <c r="Y18" s="820"/>
      <c r="Z18" s="776"/>
      <c r="AA18" s="776"/>
    </row>
    <row r="19" spans="1:27" ht="23.25" customHeight="1">
      <c r="A19" s="1184" t="s">
        <v>1469</v>
      </c>
      <c r="B19" s="1189">
        <v>412</v>
      </c>
      <c r="C19" s="822"/>
      <c r="D19" s="823"/>
      <c r="E19" s="822"/>
      <c r="F19" s="824"/>
      <c r="G19" s="824"/>
      <c r="H19" s="824"/>
      <c r="I19" s="824"/>
      <c r="J19" s="823"/>
      <c r="K19" s="816"/>
      <c r="L19" s="847"/>
      <c r="M19" s="822"/>
      <c r="N19" s="823"/>
      <c r="O19" s="816"/>
      <c r="P19" s="825"/>
      <c r="Q19" s="824"/>
      <c r="R19" s="847"/>
      <c r="S19" s="848"/>
      <c r="T19" s="847"/>
      <c r="U19" s="848"/>
      <c r="V19" s="817"/>
      <c r="W19" s="818"/>
      <c r="X19" s="819"/>
      <c r="Y19" s="820"/>
      <c r="Z19" s="776"/>
      <c r="AA19" s="776"/>
    </row>
    <row r="20" spans="1:27" ht="23.25" customHeight="1">
      <c r="A20" s="821" t="s">
        <v>182</v>
      </c>
      <c r="B20" s="789">
        <v>414</v>
      </c>
      <c r="C20" s="822"/>
      <c r="D20" s="823"/>
      <c r="E20" s="822"/>
      <c r="F20" s="824"/>
      <c r="G20" s="824"/>
      <c r="H20" s="824"/>
      <c r="I20" s="824"/>
      <c r="J20" s="823"/>
      <c r="K20" s="816"/>
      <c r="L20" s="847"/>
      <c r="M20" s="822"/>
      <c r="N20" s="823"/>
      <c r="O20" s="816"/>
      <c r="P20" s="825"/>
      <c r="Q20" s="824"/>
      <c r="R20" s="847"/>
      <c r="S20" s="848"/>
      <c r="T20" s="847"/>
      <c r="U20" s="848"/>
      <c r="V20" s="817"/>
      <c r="W20" s="818"/>
      <c r="X20" s="819"/>
      <c r="Y20" s="820"/>
      <c r="Z20" s="776"/>
      <c r="AA20" s="776"/>
    </row>
    <row r="21" spans="1:27" ht="23.25" customHeight="1">
      <c r="A21" s="821" t="s">
        <v>183</v>
      </c>
      <c r="B21" s="789">
        <v>405</v>
      </c>
      <c r="C21" s="822"/>
      <c r="D21" s="823"/>
      <c r="E21" s="822"/>
      <c r="F21" s="824"/>
      <c r="G21" s="824"/>
      <c r="H21" s="824"/>
      <c r="I21" s="824"/>
      <c r="J21" s="823"/>
      <c r="K21" s="816"/>
      <c r="L21" s="847"/>
      <c r="M21" s="822"/>
      <c r="N21" s="823"/>
      <c r="O21" s="816"/>
      <c r="P21" s="825"/>
      <c r="Q21" s="824"/>
      <c r="R21" s="847"/>
      <c r="S21" s="848"/>
      <c r="T21" s="847"/>
      <c r="U21" s="848"/>
      <c r="V21" s="817"/>
      <c r="W21" s="818"/>
      <c r="X21" s="819"/>
      <c r="Y21" s="820"/>
      <c r="Z21" s="776"/>
      <c r="AA21" s="776"/>
    </row>
    <row r="22" spans="1:27" ht="23.25" customHeight="1">
      <c r="A22" s="821" t="s">
        <v>184</v>
      </c>
      <c r="B22" s="789">
        <v>406</v>
      </c>
      <c r="C22" s="822"/>
      <c r="D22" s="823"/>
      <c r="E22" s="822"/>
      <c r="F22" s="824"/>
      <c r="G22" s="824"/>
      <c r="H22" s="824"/>
      <c r="I22" s="824"/>
      <c r="J22" s="823"/>
      <c r="K22" s="816"/>
      <c r="L22" s="847"/>
      <c r="M22" s="822"/>
      <c r="N22" s="823"/>
      <c r="O22" s="816"/>
      <c r="P22" s="825"/>
      <c r="Q22" s="824"/>
      <c r="R22" s="847"/>
      <c r="S22" s="848"/>
      <c r="T22" s="847"/>
      <c r="U22" s="848"/>
      <c r="V22" s="817"/>
      <c r="W22" s="818"/>
      <c r="X22" s="819"/>
      <c r="Y22" s="820"/>
      <c r="Z22" s="776"/>
      <c r="AA22" s="776"/>
    </row>
    <row r="23" spans="1:27" ht="23.25" customHeight="1">
      <c r="A23" s="821" t="s">
        <v>843</v>
      </c>
      <c r="B23" s="789">
        <v>415</v>
      </c>
      <c r="C23" s="822"/>
      <c r="D23" s="823"/>
      <c r="E23" s="822"/>
      <c r="F23" s="824"/>
      <c r="G23" s="824"/>
      <c r="H23" s="824"/>
      <c r="I23" s="824"/>
      <c r="J23" s="823"/>
      <c r="K23" s="816"/>
      <c r="L23" s="847"/>
      <c r="M23" s="822"/>
      <c r="N23" s="823"/>
      <c r="O23" s="816"/>
      <c r="P23" s="825"/>
      <c r="Q23" s="824"/>
      <c r="R23" s="847"/>
      <c r="S23" s="848"/>
      <c r="T23" s="847"/>
      <c r="U23" s="848"/>
      <c r="V23" s="817"/>
      <c r="W23" s="818"/>
      <c r="X23" s="819"/>
      <c r="Y23" s="820"/>
      <c r="Z23" s="776"/>
      <c r="AA23" s="776"/>
    </row>
    <row r="24" spans="1:27" ht="23.25" customHeight="1">
      <c r="A24" s="821" t="s">
        <v>185</v>
      </c>
      <c r="B24" s="789">
        <v>330</v>
      </c>
      <c r="C24" s="822"/>
      <c r="D24" s="823"/>
      <c r="E24" s="822"/>
      <c r="F24" s="824"/>
      <c r="G24" s="824"/>
      <c r="H24" s="824"/>
      <c r="I24" s="824"/>
      <c r="J24" s="823"/>
      <c r="K24" s="816"/>
      <c r="L24" s="847"/>
      <c r="M24" s="822"/>
      <c r="N24" s="823"/>
      <c r="O24" s="816"/>
      <c r="P24" s="825"/>
      <c r="Q24" s="824"/>
      <c r="R24" s="847"/>
      <c r="S24" s="848"/>
      <c r="T24" s="847"/>
      <c r="U24" s="848"/>
      <c r="V24" s="817"/>
      <c r="W24" s="818"/>
      <c r="X24" s="819"/>
      <c r="Y24" s="820"/>
      <c r="Z24" s="776"/>
      <c r="AA24" s="776"/>
    </row>
    <row r="25" spans="1:27" ht="23.25" customHeight="1">
      <c r="A25" s="827" t="s">
        <v>1076</v>
      </c>
      <c r="B25" s="1192"/>
      <c r="C25" s="828"/>
      <c r="D25" s="829"/>
      <c r="E25" s="828"/>
      <c r="F25" s="830"/>
      <c r="G25" s="830"/>
      <c r="H25" s="830"/>
      <c r="I25" s="830"/>
      <c r="J25" s="829"/>
      <c r="K25" s="831"/>
      <c r="L25" s="844"/>
      <c r="M25" s="828"/>
      <c r="N25" s="829"/>
      <c r="O25" s="831"/>
      <c r="P25" s="832"/>
      <c r="Q25" s="830"/>
      <c r="R25" s="844"/>
      <c r="S25" s="845"/>
      <c r="T25" s="844"/>
      <c r="U25" s="845"/>
      <c r="V25" s="833"/>
      <c r="W25" s="834"/>
      <c r="X25" s="835"/>
      <c r="Y25" s="836"/>
      <c r="Z25" s="776"/>
      <c r="AA25" s="776"/>
    </row>
    <row r="26" spans="1:27" ht="15.75">
      <c r="Z26" s="776"/>
      <c r="AA26" s="776"/>
    </row>
    <row r="27" spans="1:27" ht="15.75">
      <c r="Z27" s="776"/>
      <c r="AA27" s="776"/>
    </row>
    <row r="28" spans="1:27" ht="15.75">
      <c r="Z28" s="776"/>
      <c r="AA28" s="776"/>
    </row>
    <row r="29" spans="1:27">
      <c r="O29" s="838"/>
    </row>
    <row r="30" spans="1:27">
      <c r="D30" s="839"/>
    </row>
    <row r="31" spans="1:27">
      <c r="D31" s="840"/>
    </row>
  </sheetData>
  <mergeCells count="2">
    <mergeCell ref="Q9:Q10"/>
    <mergeCell ref="E9:O9"/>
  </mergeCells>
  <phoneticPr fontId="57" type="noConversion"/>
  <printOptions horizontalCentered="1" verticalCentered="1" gridLinesSet="0"/>
  <pageMargins left="0.19685039370078741" right="0.59055118110236227" top="0.27559055118110237" bottom="0.23622047244094491" header="0.39370078740157483" footer="0.39370078740157483"/>
  <pageSetup paperSize="5" scale="73" orientation="landscape" horizontalDpi="300" verticalDpi="300" r:id="rId1"/>
  <headerFooter alignWithMargins="0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/>
  <dimension ref="A1:AA36"/>
  <sheetViews>
    <sheetView showGridLines="0" topLeftCell="A9" zoomScale="75" workbookViewId="0">
      <selection activeCell="P26" sqref="P26"/>
    </sheetView>
  </sheetViews>
  <sheetFormatPr baseColWidth="10" defaultColWidth="12.5703125" defaultRowHeight="12.75"/>
  <cols>
    <col min="1" max="1" width="22" style="837" customWidth="1"/>
    <col min="2" max="2" width="11.140625" style="837" customWidth="1"/>
    <col min="3" max="3" width="8.140625" style="837" customWidth="1"/>
    <col min="4" max="4" width="8.5703125" style="837" customWidth="1"/>
    <col min="5" max="9" width="8.140625" style="837" customWidth="1"/>
    <col min="10" max="10" width="7" style="837" customWidth="1"/>
    <col min="11" max="12" width="8.140625" style="837" customWidth="1"/>
    <col min="13" max="14" width="9.28515625" style="837" customWidth="1"/>
    <col min="15" max="17" width="8.140625" style="837" customWidth="1"/>
    <col min="18" max="19" width="8.42578125" style="837" customWidth="1"/>
    <col min="20" max="21" width="8.7109375" style="837" customWidth="1"/>
    <col min="22" max="25" width="8.140625" style="837" customWidth="1"/>
    <col min="26" max="26" width="10.85546875" style="775" customWidth="1"/>
    <col min="27" max="27" width="9.28515625" style="775" customWidth="1"/>
    <col min="28" max="16384" width="12.5703125" style="775"/>
  </cols>
  <sheetData>
    <row r="1" spans="1:27">
      <c r="A1" s="772" t="s">
        <v>193</v>
      </c>
      <c r="B1" s="772"/>
      <c r="C1" s="773"/>
      <c r="D1" s="773"/>
      <c r="E1" s="773"/>
      <c r="F1" s="773"/>
      <c r="G1" s="773"/>
      <c r="H1" s="773"/>
      <c r="I1" s="773"/>
      <c r="J1" s="773"/>
      <c r="K1" s="774"/>
      <c r="L1" s="773"/>
      <c r="M1" s="773"/>
      <c r="N1" s="773"/>
      <c r="O1" s="773"/>
      <c r="P1" s="773"/>
      <c r="Q1" s="773"/>
      <c r="R1" s="773"/>
      <c r="S1" s="773"/>
      <c r="T1" s="773"/>
      <c r="U1" s="773"/>
      <c r="V1" s="773"/>
      <c r="W1" s="773"/>
      <c r="X1" s="773"/>
      <c r="Y1" s="773"/>
    </row>
    <row r="2" spans="1:27">
      <c r="A2" s="772"/>
      <c r="B2" s="772"/>
      <c r="C2" s="773"/>
      <c r="D2" s="773"/>
      <c r="E2" s="773"/>
      <c r="F2" s="773"/>
      <c r="G2" s="773"/>
      <c r="H2" s="773"/>
      <c r="I2" s="773"/>
      <c r="J2" s="773"/>
      <c r="K2" s="773"/>
      <c r="L2" s="773"/>
      <c r="M2" s="773"/>
      <c r="N2" s="773"/>
      <c r="O2" s="773"/>
      <c r="P2" s="773"/>
      <c r="Q2" s="773"/>
      <c r="R2" s="773"/>
      <c r="S2" s="773"/>
      <c r="T2" s="773"/>
      <c r="U2" s="773"/>
      <c r="V2" s="773"/>
      <c r="W2" s="773"/>
      <c r="X2" s="773"/>
      <c r="Y2" s="773"/>
    </row>
    <row r="3" spans="1:27">
      <c r="A3" s="772" t="str">
        <f>+'86'!A3</f>
        <v>SERVICIO DE SALUD   ACONCAGUA   2014</v>
      </c>
      <c r="B3" s="772"/>
      <c r="C3" s="773"/>
      <c r="D3" s="773"/>
      <c r="E3" s="773"/>
      <c r="F3" s="773"/>
      <c r="G3" s="773"/>
      <c r="H3" s="773"/>
      <c r="I3" s="773"/>
      <c r="J3" s="773"/>
      <c r="K3" s="773"/>
      <c r="L3" s="773"/>
      <c r="M3" s="773"/>
      <c r="N3" s="773"/>
      <c r="O3" s="773"/>
      <c r="P3" s="773"/>
      <c r="Q3" s="773"/>
      <c r="R3" s="773"/>
      <c r="S3" s="773"/>
      <c r="T3" s="773"/>
      <c r="U3" s="773"/>
      <c r="V3" s="773"/>
      <c r="W3" s="773"/>
      <c r="X3" s="773"/>
      <c r="Y3" s="773"/>
    </row>
    <row r="4" spans="1:27">
      <c r="A4" s="773"/>
      <c r="B4" s="773"/>
      <c r="C4" s="773"/>
      <c r="D4" s="773"/>
      <c r="E4" s="773"/>
      <c r="F4" s="773"/>
      <c r="G4" s="773"/>
      <c r="H4" s="773"/>
      <c r="I4" s="773"/>
      <c r="J4" s="773"/>
      <c r="K4" s="773"/>
      <c r="L4" s="773"/>
      <c r="M4" s="773"/>
      <c r="N4" s="773"/>
      <c r="O4" s="773"/>
      <c r="P4" s="773"/>
      <c r="Q4" s="773"/>
      <c r="R4" s="773"/>
      <c r="S4" s="773"/>
      <c r="T4" s="773"/>
      <c r="U4" s="773"/>
      <c r="V4" s="773"/>
      <c r="W4" s="773"/>
      <c r="X4" s="773"/>
      <c r="Y4" s="773"/>
    </row>
    <row r="5" spans="1:27">
      <c r="A5" s="773"/>
      <c r="B5" s="773"/>
      <c r="C5" s="773"/>
      <c r="D5" s="773"/>
      <c r="E5" s="773"/>
      <c r="F5" s="773"/>
      <c r="G5" s="773"/>
      <c r="H5" s="773"/>
      <c r="I5" s="773"/>
      <c r="J5" s="773"/>
      <c r="K5" s="773"/>
      <c r="L5" s="773"/>
      <c r="M5" s="773"/>
      <c r="N5" s="773"/>
      <c r="O5" s="773"/>
      <c r="P5" s="773"/>
      <c r="Q5" s="773"/>
      <c r="R5" s="773"/>
      <c r="S5" s="773"/>
      <c r="T5" s="773"/>
      <c r="U5" s="773"/>
      <c r="V5" s="773"/>
      <c r="W5" s="773"/>
      <c r="X5" s="773"/>
      <c r="Y5" s="773"/>
    </row>
    <row r="6" spans="1:27">
      <c r="A6" s="773"/>
      <c r="B6" s="773"/>
      <c r="C6" s="773"/>
      <c r="D6" s="773"/>
      <c r="E6" s="773"/>
      <c r="F6" s="773"/>
      <c r="G6" s="773"/>
      <c r="H6" s="773"/>
      <c r="I6" s="773"/>
      <c r="J6" s="773"/>
      <c r="K6" s="773"/>
      <c r="L6" s="773"/>
      <c r="M6" s="773"/>
      <c r="N6" s="773"/>
      <c r="O6" s="773"/>
      <c r="P6" s="773"/>
      <c r="Q6" s="773"/>
      <c r="R6" s="773"/>
      <c r="S6" s="773"/>
      <c r="T6" s="773"/>
      <c r="U6" s="773"/>
      <c r="V6" s="773"/>
      <c r="W6" s="773"/>
      <c r="X6" s="773"/>
      <c r="Y6" s="773"/>
    </row>
    <row r="7" spans="1:27">
      <c r="A7" s="773"/>
      <c r="B7" s="773"/>
      <c r="C7" s="773"/>
      <c r="D7" s="773"/>
      <c r="E7" s="773"/>
      <c r="F7" s="773"/>
      <c r="G7" s="773"/>
      <c r="H7" s="773"/>
      <c r="I7" s="773"/>
      <c r="J7" s="773"/>
      <c r="K7" s="773"/>
      <c r="L7" s="773"/>
      <c r="M7" s="773"/>
      <c r="N7" s="773"/>
      <c r="O7" s="773"/>
      <c r="P7" s="773"/>
      <c r="Q7" s="773"/>
      <c r="R7" s="773"/>
      <c r="S7" s="773"/>
      <c r="T7" s="773"/>
      <c r="U7" s="773"/>
      <c r="V7" s="773"/>
      <c r="W7" s="773"/>
      <c r="X7" s="773"/>
      <c r="Y7" s="773"/>
    </row>
    <row r="8" spans="1:27" ht="15.75">
      <c r="A8" s="777"/>
      <c r="B8" s="777"/>
      <c r="C8" s="777"/>
      <c r="D8" s="777"/>
      <c r="E8" s="777"/>
      <c r="F8" s="777"/>
      <c r="G8" s="777"/>
      <c r="H8" s="777"/>
      <c r="I8" s="777"/>
      <c r="J8" s="777"/>
      <c r="K8" s="777"/>
      <c r="L8" s="777"/>
      <c r="M8" s="777"/>
      <c r="N8" s="777"/>
      <c r="O8" s="777"/>
      <c r="P8" s="777"/>
      <c r="Q8" s="777"/>
      <c r="R8" s="777"/>
      <c r="S8" s="777"/>
      <c r="T8" s="777"/>
      <c r="U8" s="777"/>
      <c r="V8" s="777"/>
      <c r="W8" s="777"/>
      <c r="X8" s="777"/>
      <c r="Y8" s="777"/>
      <c r="Z8" s="776"/>
      <c r="AA8" s="776"/>
    </row>
    <row r="9" spans="1:27" s="788" customFormat="1" ht="21.75" customHeight="1">
      <c r="A9" s="778"/>
      <c r="B9" s="778"/>
      <c r="C9" s="779"/>
      <c r="D9" s="780"/>
      <c r="E9" s="1290" t="s">
        <v>153</v>
      </c>
      <c r="F9" s="1290"/>
      <c r="G9" s="1290"/>
      <c r="H9" s="1290"/>
      <c r="I9" s="1290"/>
      <c r="J9" s="1290"/>
      <c r="K9" s="1290"/>
      <c r="L9" s="1290"/>
      <c r="M9" s="1290"/>
      <c r="N9" s="1290"/>
      <c r="O9" s="1290"/>
      <c r="P9" s="781"/>
      <c r="Q9" s="1288" t="s">
        <v>154</v>
      </c>
      <c r="R9" s="782" t="s">
        <v>155</v>
      </c>
      <c r="S9" s="783"/>
      <c r="T9" s="784" t="s">
        <v>156</v>
      </c>
      <c r="U9" s="785"/>
      <c r="V9" s="782" t="s">
        <v>157</v>
      </c>
      <c r="W9" s="786"/>
      <c r="X9" s="786"/>
      <c r="Y9" s="783"/>
      <c r="Z9" s="787"/>
      <c r="AA9" s="787"/>
    </row>
    <row r="10" spans="1:27" s="788" customFormat="1" ht="19.5" customHeight="1">
      <c r="A10" s="789" t="s">
        <v>158</v>
      </c>
      <c r="B10" s="1189" t="s">
        <v>1472</v>
      </c>
      <c r="C10" s="790"/>
      <c r="D10" s="791" t="s">
        <v>159</v>
      </c>
      <c r="E10" s="792" t="s">
        <v>160</v>
      </c>
      <c r="F10" s="793"/>
      <c r="G10" s="793"/>
      <c r="H10" s="793"/>
      <c r="I10" s="793"/>
      <c r="J10" s="793"/>
      <c r="K10" s="794"/>
      <c r="L10" s="795" t="s">
        <v>161</v>
      </c>
      <c r="M10" s="795"/>
      <c r="N10" s="795"/>
      <c r="O10" s="795"/>
      <c r="P10" s="791" t="s">
        <v>159</v>
      </c>
      <c r="Q10" s="1289"/>
      <c r="R10" s="796"/>
      <c r="S10" s="797">
        <v>111640</v>
      </c>
      <c r="T10" s="798"/>
      <c r="U10" s="798"/>
      <c r="V10" s="799"/>
      <c r="W10" s="800"/>
      <c r="X10" s="800"/>
      <c r="Y10" s="801"/>
      <c r="Z10" s="787"/>
      <c r="AA10" s="787"/>
    </row>
    <row r="11" spans="1:27" s="788" customFormat="1" ht="36" customHeight="1">
      <c r="A11" s="789" t="s">
        <v>162</v>
      </c>
      <c r="B11" s="1189" t="s">
        <v>1473</v>
      </c>
      <c r="C11" s="802" t="s">
        <v>163</v>
      </c>
      <c r="D11" s="802" t="s">
        <v>164</v>
      </c>
      <c r="E11" s="803" t="s">
        <v>1159</v>
      </c>
      <c r="F11" s="804" t="s">
        <v>1157</v>
      </c>
      <c r="G11" s="804" t="s">
        <v>165</v>
      </c>
      <c r="H11" s="805" t="s">
        <v>166</v>
      </c>
      <c r="I11" s="805" t="s">
        <v>167</v>
      </c>
      <c r="J11" s="806" t="s">
        <v>243</v>
      </c>
      <c r="K11" s="804" t="s">
        <v>571</v>
      </c>
      <c r="L11" s="807" t="s">
        <v>168</v>
      </c>
      <c r="M11" s="805" t="s">
        <v>169</v>
      </c>
      <c r="N11" s="808" t="s">
        <v>170</v>
      </c>
      <c r="O11" s="804" t="s">
        <v>571</v>
      </c>
      <c r="P11" s="802" t="s">
        <v>171</v>
      </c>
      <c r="Q11" s="809" t="s">
        <v>172</v>
      </c>
      <c r="R11" s="810" t="s">
        <v>173</v>
      </c>
      <c r="S11" s="804" t="s">
        <v>174</v>
      </c>
      <c r="T11" s="804" t="s">
        <v>571</v>
      </c>
      <c r="U11" s="811" t="s">
        <v>175</v>
      </c>
      <c r="V11" s="805" t="s">
        <v>176</v>
      </c>
      <c r="W11" s="805" t="s">
        <v>177</v>
      </c>
      <c r="X11" s="812" t="s">
        <v>178</v>
      </c>
      <c r="Y11" s="813" t="s">
        <v>179</v>
      </c>
      <c r="Z11" s="787"/>
      <c r="AA11" s="787"/>
    </row>
    <row r="12" spans="1:27" ht="22.5" customHeight="1">
      <c r="A12" s="814" t="s">
        <v>690</v>
      </c>
      <c r="B12" s="1191"/>
      <c r="C12" s="816">
        <f t="shared" ref="C12:J12" si="0">SUM(C15:C25)</f>
        <v>354</v>
      </c>
      <c r="D12" s="815">
        <f t="shared" si="0"/>
        <v>265</v>
      </c>
      <c r="E12" s="815">
        <f t="shared" si="0"/>
        <v>434</v>
      </c>
      <c r="F12" s="815">
        <f t="shared" si="0"/>
        <v>0</v>
      </c>
      <c r="G12" s="815">
        <f t="shared" si="0"/>
        <v>0</v>
      </c>
      <c r="H12" s="815">
        <f t="shared" si="0"/>
        <v>0</v>
      </c>
      <c r="I12" s="815">
        <f t="shared" si="0"/>
        <v>493</v>
      </c>
      <c r="J12" s="815">
        <f t="shared" si="0"/>
        <v>253</v>
      </c>
      <c r="K12" s="815">
        <f>SUM(K13:K25)</f>
        <v>927</v>
      </c>
      <c r="L12" s="815">
        <f>SUM(L15:L25)</f>
        <v>914</v>
      </c>
      <c r="M12" s="816">
        <f>SUM(M15:M25)</f>
        <v>253</v>
      </c>
      <c r="N12" s="815">
        <f>SUM(N15:N25)</f>
        <v>5</v>
      </c>
      <c r="O12" s="816">
        <f>L12+N12</f>
        <v>919</v>
      </c>
      <c r="P12" s="815">
        <f t="shared" ref="P12:U12" si="1">SUM(P15:P25)</f>
        <v>273</v>
      </c>
      <c r="Q12" s="815">
        <f t="shared" si="1"/>
        <v>5</v>
      </c>
      <c r="R12" s="816">
        <f t="shared" si="1"/>
        <v>117320</v>
      </c>
      <c r="S12" s="815">
        <f t="shared" si="1"/>
        <v>114649</v>
      </c>
      <c r="T12" s="816">
        <f t="shared" si="1"/>
        <v>117506</v>
      </c>
      <c r="U12" s="815">
        <f t="shared" si="1"/>
        <v>117506</v>
      </c>
      <c r="V12" s="849">
        <f>S12/R12*100</f>
        <v>97.723320831912716</v>
      </c>
      <c r="W12" s="850">
        <f>+T12/O12</f>
        <v>127.86289445048966</v>
      </c>
      <c r="X12" s="851">
        <f>+O12/(R12/30.4)</f>
        <v>0.23813160586430276</v>
      </c>
      <c r="Y12" s="852">
        <f>(+R12-S12)/O12</f>
        <v>2.9064200217627856</v>
      </c>
      <c r="Z12" s="776"/>
      <c r="AA12" s="776"/>
    </row>
    <row r="13" spans="1:27" ht="22.5" customHeight="1">
      <c r="A13" s="1184" t="s">
        <v>1474</v>
      </c>
      <c r="B13" s="789">
        <v>403</v>
      </c>
      <c r="C13" s="816"/>
      <c r="D13" s="825"/>
      <c r="E13" s="816"/>
      <c r="F13" s="825"/>
      <c r="G13" s="825"/>
      <c r="H13" s="825"/>
      <c r="I13" s="825"/>
      <c r="J13" s="825"/>
      <c r="K13" s="816"/>
      <c r="L13" s="825"/>
      <c r="M13" s="816"/>
      <c r="N13" s="825"/>
      <c r="O13" s="816"/>
      <c r="P13" s="825"/>
      <c r="Q13" s="825"/>
      <c r="R13" s="847"/>
      <c r="S13" s="848"/>
      <c r="T13" s="847"/>
      <c r="U13" s="816"/>
      <c r="V13" s="817"/>
      <c r="W13" s="818"/>
      <c r="X13" s="819"/>
      <c r="Y13" s="820"/>
      <c r="Z13" s="776"/>
      <c r="AA13" s="776"/>
    </row>
    <row r="14" spans="1:27" ht="22.5" customHeight="1">
      <c r="A14" s="1184" t="s">
        <v>1475</v>
      </c>
      <c r="B14" s="789">
        <v>404</v>
      </c>
      <c r="C14" s="816"/>
      <c r="D14" s="825"/>
      <c r="E14" s="816"/>
      <c r="F14" s="825"/>
      <c r="G14" s="825"/>
      <c r="H14" s="825"/>
      <c r="I14" s="825"/>
      <c r="J14" s="825"/>
      <c r="K14" s="816"/>
      <c r="L14" s="825"/>
      <c r="M14" s="816"/>
      <c r="N14" s="825"/>
      <c r="O14" s="816"/>
      <c r="P14" s="825"/>
      <c r="Q14" s="825"/>
      <c r="R14" s="847"/>
      <c r="S14" s="848"/>
      <c r="T14" s="847"/>
      <c r="U14" s="816"/>
      <c r="V14" s="817"/>
      <c r="W14" s="818"/>
      <c r="X14" s="819"/>
      <c r="Y14" s="820"/>
      <c r="Z14" s="776"/>
      <c r="AA14" s="776"/>
    </row>
    <row r="15" spans="1:27" ht="16.5" customHeight="1">
      <c r="A15" s="821" t="s">
        <v>180</v>
      </c>
      <c r="B15" s="789">
        <v>416</v>
      </c>
      <c r="C15" s="822"/>
      <c r="D15" s="823"/>
      <c r="E15" s="822"/>
      <c r="F15" s="826"/>
      <c r="G15" s="826"/>
      <c r="H15" s="826"/>
      <c r="I15" s="826"/>
      <c r="J15" s="823"/>
      <c r="K15" s="816"/>
      <c r="L15" s="847"/>
      <c r="M15" s="822"/>
      <c r="N15" s="823"/>
      <c r="O15" s="816"/>
      <c r="P15" s="825"/>
      <c r="Q15" s="824"/>
      <c r="R15" s="847"/>
      <c r="S15" s="848"/>
      <c r="T15" s="847"/>
      <c r="U15" s="848"/>
      <c r="V15" s="817"/>
      <c r="W15" s="818"/>
      <c r="X15" s="819"/>
      <c r="Y15" s="820"/>
      <c r="Z15" s="776"/>
      <c r="AA15" s="776"/>
    </row>
    <row r="16" spans="1:27" ht="18" customHeight="1">
      <c r="A16" s="1184" t="s">
        <v>1476</v>
      </c>
      <c r="B16" s="789">
        <v>407</v>
      </c>
      <c r="C16" s="822"/>
      <c r="D16" s="823"/>
      <c r="E16" s="822"/>
      <c r="F16" s="824"/>
      <c r="G16" s="824"/>
      <c r="H16" s="824"/>
      <c r="I16" s="824"/>
      <c r="J16" s="823"/>
      <c r="K16" s="816"/>
      <c r="L16" s="847"/>
      <c r="M16" s="822"/>
      <c r="N16" s="823"/>
      <c r="O16" s="816"/>
      <c r="P16" s="825"/>
      <c r="Q16" s="824"/>
      <c r="R16" s="847"/>
      <c r="S16" s="848"/>
      <c r="T16" s="847"/>
      <c r="U16" s="848"/>
      <c r="V16" s="817"/>
      <c r="W16" s="818"/>
      <c r="X16" s="819"/>
      <c r="Y16" s="820"/>
      <c r="Z16" s="776"/>
      <c r="AA16" s="776"/>
    </row>
    <row r="17" spans="1:27" ht="18" customHeight="1">
      <c r="A17" s="1184" t="s">
        <v>1477</v>
      </c>
      <c r="B17" s="789">
        <v>409</v>
      </c>
      <c r="C17" s="822"/>
      <c r="D17" s="823"/>
      <c r="E17" s="822"/>
      <c r="F17" s="824"/>
      <c r="G17" s="824"/>
      <c r="H17" s="824"/>
      <c r="I17" s="824"/>
      <c r="J17" s="823"/>
      <c r="K17" s="816"/>
      <c r="L17" s="847"/>
      <c r="M17" s="822"/>
      <c r="N17" s="823"/>
      <c r="O17" s="816"/>
      <c r="P17" s="825"/>
      <c r="Q17" s="824"/>
      <c r="R17" s="847"/>
      <c r="S17" s="848"/>
      <c r="T17" s="847"/>
      <c r="U17" s="848"/>
      <c r="V17" s="817"/>
      <c r="W17" s="818"/>
      <c r="X17" s="819"/>
      <c r="Y17" s="820"/>
      <c r="Z17" s="776"/>
      <c r="AA17" s="776"/>
    </row>
    <row r="18" spans="1:27" ht="17.25" customHeight="1">
      <c r="A18" s="821" t="s">
        <v>181</v>
      </c>
      <c r="B18" s="789">
        <v>413</v>
      </c>
      <c r="C18" s="822"/>
      <c r="D18" s="823"/>
      <c r="E18" s="822"/>
      <c r="F18" s="824"/>
      <c r="G18" s="824"/>
      <c r="H18" s="824"/>
      <c r="I18" s="824"/>
      <c r="J18" s="823"/>
      <c r="K18" s="816"/>
      <c r="L18" s="847"/>
      <c r="M18" s="822"/>
      <c r="N18" s="823"/>
      <c r="O18" s="816"/>
      <c r="P18" s="825"/>
      <c r="Q18" s="824"/>
      <c r="R18" s="847"/>
      <c r="S18" s="848"/>
      <c r="T18" s="847"/>
      <c r="U18" s="848"/>
      <c r="V18" s="817"/>
      <c r="W18" s="818"/>
      <c r="X18" s="819"/>
      <c r="Y18" s="820"/>
      <c r="Z18" s="776"/>
      <c r="AA18" s="776"/>
    </row>
    <row r="19" spans="1:27" ht="17.25" customHeight="1">
      <c r="A19" s="1184" t="s">
        <v>1469</v>
      </c>
      <c r="B19" s="1189">
        <v>412</v>
      </c>
      <c r="C19" s="822"/>
      <c r="D19" s="823"/>
      <c r="E19" s="822"/>
      <c r="F19" s="824"/>
      <c r="G19" s="824"/>
      <c r="H19" s="824"/>
      <c r="I19" s="824"/>
      <c r="J19" s="823"/>
      <c r="K19" s="816"/>
      <c r="L19" s="847"/>
      <c r="M19" s="822"/>
      <c r="N19" s="823"/>
      <c r="O19" s="816"/>
      <c r="P19" s="825"/>
      <c r="Q19" s="824"/>
      <c r="R19" s="847"/>
      <c r="S19" s="848"/>
      <c r="T19" s="847"/>
      <c r="U19" s="848"/>
      <c r="V19" s="817"/>
      <c r="W19" s="818"/>
      <c r="X19" s="819"/>
      <c r="Y19" s="820"/>
      <c r="Z19" s="776"/>
      <c r="AA19" s="776"/>
    </row>
    <row r="20" spans="1:27" ht="18.75" customHeight="1">
      <c r="A20" s="821" t="s">
        <v>182</v>
      </c>
      <c r="B20" s="789">
        <v>414</v>
      </c>
      <c r="C20" s="822"/>
      <c r="D20" s="823"/>
      <c r="E20" s="822"/>
      <c r="F20" s="824"/>
      <c r="G20" s="824"/>
      <c r="H20" s="824"/>
      <c r="I20" s="824"/>
      <c r="J20" s="823"/>
      <c r="K20" s="816"/>
      <c r="L20" s="847"/>
      <c r="M20" s="822"/>
      <c r="N20" s="823"/>
      <c r="O20" s="816"/>
      <c r="P20" s="825"/>
      <c r="Q20" s="824"/>
      <c r="R20" s="847"/>
      <c r="S20" s="848"/>
      <c r="T20" s="847"/>
      <c r="U20" s="848"/>
      <c r="V20" s="817"/>
      <c r="W20" s="818"/>
      <c r="X20" s="819"/>
      <c r="Y20" s="820"/>
      <c r="Z20" s="776"/>
      <c r="AA20" s="776"/>
    </row>
    <row r="21" spans="1:27" ht="19.5" customHeight="1">
      <c r="A21" s="821" t="s">
        <v>183</v>
      </c>
      <c r="B21" s="789">
        <v>405</v>
      </c>
      <c r="C21" s="822"/>
      <c r="D21" s="823"/>
      <c r="E21" s="822"/>
      <c r="F21" s="824"/>
      <c r="G21" s="824"/>
      <c r="H21" s="824"/>
      <c r="I21" s="824"/>
      <c r="J21" s="823"/>
      <c r="K21" s="816"/>
      <c r="L21" s="847"/>
      <c r="M21" s="822"/>
      <c r="N21" s="823"/>
      <c r="O21" s="816"/>
      <c r="P21" s="825"/>
      <c r="Q21" s="824"/>
      <c r="R21" s="847"/>
      <c r="S21" s="848"/>
      <c r="T21" s="847"/>
      <c r="U21" s="848"/>
      <c r="V21" s="817"/>
      <c r="W21" s="818"/>
      <c r="X21" s="819"/>
      <c r="Y21" s="820"/>
      <c r="Z21" s="776"/>
      <c r="AA21" s="776"/>
    </row>
    <row r="22" spans="1:27" ht="19.5" customHeight="1">
      <c r="A22" s="821" t="s">
        <v>184</v>
      </c>
      <c r="B22" s="789">
        <v>406</v>
      </c>
      <c r="C22" s="822"/>
      <c r="D22" s="823"/>
      <c r="E22" s="822"/>
      <c r="F22" s="824"/>
      <c r="G22" s="824"/>
      <c r="H22" s="824"/>
      <c r="I22" s="824"/>
      <c r="J22" s="823"/>
      <c r="K22" s="816"/>
      <c r="L22" s="847"/>
      <c r="M22" s="822"/>
      <c r="N22" s="823"/>
      <c r="O22" s="816"/>
      <c r="P22" s="825"/>
      <c r="Q22" s="824"/>
      <c r="R22" s="847"/>
      <c r="S22" s="848"/>
      <c r="T22" s="847"/>
      <c r="U22" s="848"/>
      <c r="V22" s="817"/>
      <c r="W22" s="818"/>
      <c r="X22" s="819"/>
      <c r="Y22" s="820"/>
      <c r="Z22" s="776"/>
      <c r="AA22" s="776"/>
    </row>
    <row r="23" spans="1:27" ht="19.5" customHeight="1">
      <c r="A23" s="821" t="s">
        <v>843</v>
      </c>
      <c r="B23" s="789">
        <v>415</v>
      </c>
      <c r="C23" s="822"/>
      <c r="D23" s="823"/>
      <c r="E23" s="822"/>
      <c r="F23" s="824"/>
      <c r="G23" s="824"/>
      <c r="H23" s="824"/>
      <c r="I23" s="824"/>
      <c r="J23" s="823"/>
      <c r="K23" s="816"/>
      <c r="L23" s="847"/>
      <c r="M23" s="822"/>
      <c r="N23" s="823"/>
      <c r="O23" s="816"/>
      <c r="P23" s="825"/>
      <c r="Q23" s="824"/>
      <c r="R23" s="847"/>
      <c r="S23" s="848"/>
      <c r="T23" s="847"/>
      <c r="U23" s="848"/>
      <c r="V23" s="817"/>
      <c r="W23" s="818"/>
      <c r="X23" s="819"/>
      <c r="Y23" s="820"/>
      <c r="Z23" s="776"/>
      <c r="AA23" s="776"/>
    </row>
    <row r="24" spans="1:27" ht="18" customHeight="1">
      <c r="A24" s="821" t="s">
        <v>185</v>
      </c>
      <c r="B24" s="789">
        <v>330</v>
      </c>
      <c r="C24" s="822"/>
      <c r="D24" s="823"/>
      <c r="E24" s="822"/>
      <c r="F24" s="824"/>
      <c r="G24" s="824"/>
      <c r="H24" s="824"/>
      <c r="I24" s="824"/>
      <c r="J24" s="823"/>
      <c r="K24" s="816"/>
      <c r="L24" s="847"/>
      <c r="M24" s="822"/>
      <c r="N24" s="823"/>
      <c r="O24" s="816"/>
      <c r="P24" s="825"/>
      <c r="Q24" s="824"/>
      <c r="R24" s="847"/>
      <c r="S24" s="848"/>
      <c r="T24" s="847"/>
      <c r="U24" s="848"/>
      <c r="V24" s="817"/>
      <c r="W24" s="818"/>
      <c r="X24" s="819"/>
      <c r="Y24" s="820"/>
      <c r="Z24" s="776"/>
      <c r="AA24" s="776"/>
    </row>
    <row r="25" spans="1:27" ht="27" customHeight="1">
      <c r="A25" s="821" t="s">
        <v>1076</v>
      </c>
      <c r="B25" s="789"/>
      <c r="C25" s="822">
        <f t="shared" ref="C25:Q25" si="2">SUM(C26:C33)</f>
        <v>354</v>
      </c>
      <c r="D25" s="823">
        <f t="shared" si="2"/>
        <v>265</v>
      </c>
      <c r="E25" s="823">
        <f t="shared" si="2"/>
        <v>434</v>
      </c>
      <c r="F25" s="823">
        <f t="shared" si="2"/>
        <v>0</v>
      </c>
      <c r="G25" s="823">
        <f t="shared" si="2"/>
        <v>0</v>
      </c>
      <c r="H25" s="823">
        <f t="shared" si="2"/>
        <v>0</v>
      </c>
      <c r="I25" s="823">
        <f t="shared" si="2"/>
        <v>493</v>
      </c>
      <c r="J25" s="823">
        <f t="shared" si="2"/>
        <v>253</v>
      </c>
      <c r="K25" s="816">
        <f>SUM(E25:I25)</f>
        <v>927</v>
      </c>
      <c r="L25" s="823">
        <f t="shared" si="2"/>
        <v>914</v>
      </c>
      <c r="M25" s="823">
        <f t="shared" si="2"/>
        <v>253</v>
      </c>
      <c r="N25" s="823">
        <f t="shared" si="2"/>
        <v>5</v>
      </c>
      <c r="O25" s="816">
        <f>L25+N25</f>
        <v>919</v>
      </c>
      <c r="P25" s="823">
        <f t="shared" si="2"/>
        <v>273</v>
      </c>
      <c r="Q25" s="823">
        <f t="shared" si="2"/>
        <v>5</v>
      </c>
      <c r="R25" s="823">
        <f>SUM(R26:R33)</f>
        <v>117320</v>
      </c>
      <c r="S25" s="823">
        <f>SUM(S26:S33)</f>
        <v>114649</v>
      </c>
      <c r="T25" s="823">
        <f>SUM(T26:T33)</f>
        <v>117506</v>
      </c>
      <c r="U25" s="823">
        <f>SUM(U26:U33)</f>
        <v>117506</v>
      </c>
      <c r="V25" s="817">
        <f t="shared" ref="V25:V31" si="3">S25/R25*100</f>
        <v>97.723320831912716</v>
      </c>
      <c r="W25" s="818">
        <f t="shared" ref="W25:W31" si="4">+T25/O25</f>
        <v>127.86289445048966</v>
      </c>
      <c r="X25" s="819">
        <f t="shared" ref="X25:X31" si="5">+O25/(R25/30.4)</f>
        <v>0.23813160586430276</v>
      </c>
      <c r="Y25" s="820">
        <f t="shared" ref="Y25:Y31" si="6">(+R25-S25)/O25</f>
        <v>2.9064200217627856</v>
      </c>
      <c r="Z25" s="776"/>
      <c r="AA25" s="776"/>
    </row>
    <row r="26" spans="1:27" s="788" customFormat="1" ht="18" customHeight="1">
      <c r="A26" s="853" t="s">
        <v>194</v>
      </c>
      <c r="B26" s="854"/>
      <c r="C26" s="854">
        <v>22</v>
      </c>
      <c r="D26" s="855">
        <v>13</v>
      </c>
      <c r="E26" s="854">
        <v>404</v>
      </c>
      <c r="F26" s="824"/>
      <c r="G26" s="824"/>
      <c r="H26" s="824"/>
      <c r="I26" s="854">
        <v>299</v>
      </c>
      <c r="J26" s="854">
        <v>146</v>
      </c>
      <c r="K26" s="816">
        <f t="shared" ref="K26:K33" si="7">SUM(E26:J26)</f>
        <v>849</v>
      </c>
      <c r="L26" s="854">
        <v>695</v>
      </c>
      <c r="M26" s="854">
        <v>155</v>
      </c>
      <c r="N26" s="854">
        <v>2</v>
      </c>
      <c r="O26" s="825">
        <f>SUM(L26:N26)</f>
        <v>852</v>
      </c>
      <c r="P26" s="825">
        <f t="shared" ref="P26:P33" si="8">SUM(D26,K26)-O26</f>
        <v>10</v>
      </c>
      <c r="Q26" s="824">
        <v>5</v>
      </c>
      <c r="R26" s="824">
        <v>14600</v>
      </c>
      <c r="S26" s="824">
        <v>13792</v>
      </c>
      <c r="T26" s="856">
        <v>12399</v>
      </c>
      <c r="U26" s="856">
        <v>12399</v>
      </c>
      <c r="V26" s="817">
        <f t="shared" si="3"/>
        <v>94.465753424657535</v>
      </c>
      <c r="W26" s="818">
        <f t="shared" si="4"/>
        <v>14.55281690140845</v>
      </c>
      <c r="X26" s="819">
        <f t="shared" si="5"/>
        <v>1.7740273972602738</v>
      </c>
      <c r="Y26" s="820">
        <f t="shared" si="6"/>
        <v>0.94835680751173712</v>
      </c>
      <c r="Z26" s="787"/>
      <c r="AA26" s="787"/>
    </row>
    <row r="27" spans="1:27" s="788" customFormat="1" ht="18" customHeight="1">
      <c r="A27" s="853" t="s">
        <v>195</v>
      </c>
      <c r="B27" s="854"/>
      <c r="C27" s="854">
        <v>30</v>
      </c>
      <c r="D27" s="855">
        <v>26</v>
      </c>
      <c r="E27" s="854">
        <v>13</v>
      </c>
      <c r="F27" s="824"/>
      <c r="G27" s="824"/>
      <c r="H27" s="824"/>
      <c r="I27" s="854">
        <v>96</v>
      </c>
      <c r="J27" s="854">
        <v>16</v>
      </c>
      <c r="K27" s="816">
        <f t="shared" si="7"/>
        <v>125</v>
      </c>
      <c r="L27" s="854">
        <v>114</v>
      </c>
      <c r="M27" s="854">
        <v>5</v>
      </c>
      <c r="N27" s="854">
        <v>2</v>
      </c>
      <c r="O27" s="825">
        <f t="shared" ref="O27:O33" si="9">SUM(L27:N27)</f>
        <v>121</v>
      </c>
      <c r="P27" s="825">
        <f t="shared" si="8"/>
        <v>30</v>
      </c>
      <c r="Q27" s="824">
        <v>0</v>
      </c>
      <c r="R27" s="856">
        <v>36851</v>
      </c>
      <c r="S27" s="856">
        <v>39140</v>
      </c>
      <c r="T27" s="856">
        <v>48242</v>
      </c>
      <c r="U27" s="854">
        <v>48242</v>
      </c>
      <c r="V27" s="817">
        <f t="shared" si="3"/>
        <v>106.21150036634013</v>
      </c>
      <c r="W27" s="818">
        <f t="shared" si="4"/>
        <v>398.69421487603307</v>
      </c>
      <c r="X27" s="819">
        <f t="shared" si="5"/>
        <v>9.9818186752055574E-2</v>
      </c>
      <c r="Y27" s="820">
        <f t="shared" si="6"/>
        <v>-18.917355371900825</v>
      </c>
      <c r="Z27" s="787"/>
      <c r="AA27" s="787"/>
    </row>
    <row r="28" spans="1:27" s="788" customFormat="1" ht="18" customHeight="1">
      <c r="A28" s="857" t="s">
        <v>196</v>
      </c>
      <c r="B28" s="854">
        <v>420</v>
      </c>
      <c r="C28" s="854">
        <v>190</v>
      </c>
      <c r="D28" s="854">
        <v>151</v>
      </c>
      <c r="E28" s="854">
        <v>1</v>
      </c>
      <c r="F28" s="824"/>
      <c r="G28" s="824"/>
      <c r="H28" s="824"/>
      <c r="I28" s="854">
        <v>19</v>
      </c>
      <c r="J28" s="854">
        <v>1</v>
      </c>
      <c r="K28" s="816">
        <f t="shared" si="7"/>
        <v>21</v>
      </c>
      <c r="L28" s="854">
        <v>13</v>
      </c>
      <c r="M28" s="854">
        <v>2</v>
      </c>
      <c r="N28" s="854"/>
      <c r="O28" s="825">
        <f t="shared" si="9"/>
        <v>15</v>
      </c>
      <c r="P28" s="825">
        <f t="shared" si="8"/>
        <v>157</v>
      </c>
      <c r="Q28" s="824">
        <v>0</v>
      </c>
      <c r="R28" s="856">
        <v>33019</v>
      </c>
      <c r="S28" s="856">
        <v>32914</v>
      </c>
      <c r="T28" s="856">
        <v>22880</v>
      </c>
      <c r="U28" s="854">
        <v>22880</v>
      </c>
      <c r="V28" s="817">
        <f t="shared" si="3"/>
        <v>99.68200127199492</v>
      </c>
      <c r="W28" s="818">
        <f t="shared" si="4"/>
        <v>1525.3333333333333</v>
      </c>
      <c r="X28" s="819">
        <f t="shared" si="5"/>
        <v>1.381023047336382E-2</v>
      </c>
      <c r="Y28" s="820">
        <f t="shared" si="6"/>
        <v>7</v>
      </c>
      <c r="Z28" s="787"/>
      <c r="AA28" s="787"/>
    </row>
    <row r="29" spans="1:27" s="788" customFormat="1" ht="18" customHeight="1">
      <c r="A29" s="853" t="s">
        <v>197</v>
      </c>
      <c r="B29" s="854"/>
      <c r="C29" s="854">
        <v>18</v>
      </c>
      <c r="D29" s="854">
        <v>16</v>
      </c>
      <c r="E29" s="854"/>
      <c r="F29" s="824"/>
      <c r="G29" s="824"/>
      <c r="H29" s="824"/>
      <c r="I29" s="854"/>
      <c r="J29" s="854"/>
      <c r="K29" s="816">
        <f t="shared" si="7"/>
        <v>0</v>
      </c>
      <c r="L29" s="854"/>
      <c r="M29" s="854"/>
      <c r="N29" s="854"/>
      <c r="O29" s="825">
        <f t="shared" si="9"/>
        <v>0</v>
      </c>
      <c r="P29" s="825">
        <f t="shared" si="8"/>
        <v>16</v>
      </c>
      <c r="Q29" s="824"/>
      <c r="R29" s="856"/>
      <c r="S29" s="856"/>
      <c r="T29" s="856"/>
      <c r="U29" s="854"/>
      <c r="V29" s="817"/>
      <c r="W29" s="818"/>
      <c r="X29" s="819"/>
      <c r="Y29" s="820"/>
      <c r="Z29" s="787"/>
      <c r="AA29" s="787"/>
    </row>
    <row r="30" spans="1:27" s="788" customFormat="1" ht="18" customHeight="1">
      <c r="A30" s="853" t="s">
        <v>198</v>
      </c>
      <c r="B30" s="854"/>
      <c r="C30" s="854">
        <v>50</v>
      </c>
      <c r="D30" s="854"/>
      <c r="E30" s="854"/>
      <c r="F30" s="824"/>
      <c r="G30" s="824"/>
      <c r="H30" s="824"/>
      <c r="I30" s="854"/>
      <c r="J30" s="854"/>
      <c r="K30" s="816">
        <f t="shared" si="7"/>
        <v>0</v>
      </c>
      <c r="L30" s="854"/>
      <c r="M30" s="854"/>
      <c r="N30" s="854"/>
      <c r="O30" s="825">
        <f t="shared" si="9"/>
        <v>0</v>
      </c>
      <c r="P30" s="825">
        <f t="shared" si="8"/>
        <v>0</v>
      </c>
      <c r="Q30" s="824">
        <v>0</v>
      </c>
      <c r="R30" s="856"/>
      <c r="S30" s="856"/>
      <c r="T30" s="856"/>
      <c r="U30" s="854"/>
      <c r="V30" s="817"/>
      <c r="W30" s="818"/>
      <c r="X30" s="819"/>
      <c r="Y30" s="820"/>
      <c r="Z30" s="787"/>
      <c r="AA30" s="787"/>
    </row>
    <row r="31" spans="1:27" s="788" customFormat="1" ht="18" customHeight="1">
      <c r="A31" s="853" t="s">
        <v>199</v>
      </c>
      <c r="B31" s="854"/>
      <c r="C31" s="854">
        <v>20</v>
      </c>
      <c r="D31" s="854">
        <v>40</v>
      </c>
      <c r="E31" s="854"/>
      <c r="F31" s="824"/>
      <c r="G31" s="824"/>
      <c r="H31" s="824"/>
      <c r="I31" s="854">
        <v>36</v>
      </c>
      <c r="J31" s="854">
        <v>90</v>
      </c>
      <c r="K31" s="816">
        <f t="shared" si="7"/>
        <v>126</v>
      </c>
      <c r="L31" s="854">
        <v>59</v>
      </c>
      <c r="M31" s="854">
        <v>65</v>
      </c>
      <c r="N31" s="854">
        <v>1</v>
      </c>
      <c r="O31" s="825">
        <f t="shared" si="9"/>
        <v>125</v>
      </c>
      <c r="P31" s="825">
        <f t="shared" si="8"/>
        <v>41</v>
      </c>
      <c r="Q31" s="824">
        <v>0</v>
      </c>
      <c r="R31" s="856">
        <v>25550</v>
      </c>
      <c r="S31" s="856">
        <v>22109</v>
      </c>
      <c r="T31" s="856">
        <v>30442</v>
      </c>
      <c r="U31" s="854">
        <v>30442</v>
      </c>
      <c r="V31" s="817">
        <f t="shared" si="3"/>
        <v>86.532289628180038</v>
      </c>
      <c r="W31" s="818">
        <f t="shared" si="4"/>
        <v>243.536</v>
      </c>
      <c r="X31" s="819">
        <f t="shared" si="5"/>
        <v>0.14872798434442269</v>
      </c>
      <c r="Y31" s="820">
        <f t="shared" si="6"/>
        <v>27.527999999999999</v>
      </c>
      <c r="Z31" s="787"/>
      <c r="AA31" s="787"/>
    </row>
    <row r="32" spans="1:27" s="788" customFormat="1" ht="18" customHeight="1">
      <c r="A32" s="853" t="s">
        <v>200</v>
      </c>
      <c r="B32" s="854"/>
      <c r="C32" s="854">
        <v>20</v>
      </c>
      <c r="D32" s="854">
        <v>19</v>
      </c>
      <c r="E32" s="854">
        <v>16</v>
      </c>
      <c r="F32" s="824"/>
      <c r="G32" s="824"/>
      <c r="H32" s="824"/>
      <c r="I32" s="854">
        <v>43</v>
      </c>
      <c r="J32" s="854"/>
      <c r="K32" s="816">
        <f t="shared" ref="K32" si="10">SUM(E32:J32)</f>
        <v>59</v>
      </c>
      <c r="L32" s="854">
        <v>33</v>
      </c>
      <c r="M32" s="854">
        <v>26</v>
      </c>
      <c r="N32" s="854"/>
      <c r="O32" s="825">
        <f t="shared" si="9"/>
        <v>59</v>
      </c>
      <c r="P32" s="825">
        <f t="shared" ref="P32" si="11">SUM(D32,K32)-O32</f>
        <v>19</v>
      </c>
      <c r="Q32" s="824">
        <v>0</v>
      </c>
      <c r="R32" s="856">
        <v>7300</v>
      </c>
      <c r="S32" s="856">
        <v>6694</v>
      </c>
      <c r="T32" s="856">
        <v>3543</v>
      </c>
      <c r="U32" s="854">
        <v>3543</v>
      </c>
      <c r="V32" s="817">
        <f t="shared" ref="V32" si="12">S32/R32*100</f>
        <v>91.69863013698631</v>
      </c>
      <c r="W32" s="818">
        <f t="shared" ref="W32" si="13">+T32/O32</f>
        <v>60.050847457627121</v>
      </c>
      <c r="X32" s="819">
        <f t="shared" ref="X32" si="14">+O32/(R32/30.4)</f>
        <v>0.24569863013698628</v>
      </c>
      <c r="Y32" s="820">
        <f t="shared" ref="Y32" si="15">(+R32-S32)/O32</f>
        <v>10.271186440677965</v>
      </c>
      <c r="Z32" s="787"/>
      <c r="AA32" s="787"/>
    </row>
    <row r="33" spans="1:27" s="788" customFormat="1" ht="18" customHeight="1">
      <c r="A33" s="858" t="s">
        <v>201</v>
      </c>
      <c r="B33" s="859"/>
      <c r="C33" s="859">
        <v>4</v>
      </c>
      <c r="D33" s="859">
        <v>0</v>
      </c>
      <c r="E33" s="859"/>
      <c r="F33" s="830"/>
      <c r="G33" s="830"/>
      <c r="H33" s="830"/>
      <c r="I33" s="859"/>
      <c r="J33" s="859"/>
      <c r="K33" s="860">
        <f t="shared" si="7"/>
        <v>0</v>
      </c>
      <c r="L33" s="859"/>
      <c r="M33" s="859"/>
      <c r="N33" s="859"/>
      <c r="O33" s="832">
        <f t="shared" si="9"/>
        <v>0</v>
      </c>
      <c r="P33" s="861">
        <f t="shared" si="8"/>
        <v>0</v>
      </c>
      <c r="Q33" s="830"/>
      <c r="R33" s="862"/>
      <c r="S33" s="862"/>
      <c r="T33" s="862"/>
      <c r="U33" s="859"/>
      <c r="V33" s="833"/>
      <c r="W33" s="834"/>
      <c r="X33" s="835"/>
      <c r="Y33" s="836"/>
      <c r="Z33" s="787"/>
      <c r="AA33" s="787"/>
    </row>
    <row r="34" spans="1:27">
      <c r="O34" s="838"/>
    </row>
    <row r="35" spans="1:27">
      <c r="D35" s="839"/>
    </row>
    <row r="36" spans="1:27">
      <c r="D36" s="840"/>
    </row>
  </sheetData>
  <mergeCells count="2">
    <mergeCell ref="Q9:Q10"/>
    <mergeCell ref="E9:O9"/>
  </mergeCells>
  <phoneticPr fontId="57" type="noConversion"/>
  <printOptions horizontalCentered="1" verticalCentered="1" gridLinesSet="0"/>
  <pageMargins left="0.19685039370078741" right="0.78740157480314965" top="0.27559055118110237" bottom="0.23622047244094491" header="0.39370078740157483" footer="0.39370078740157483"/>
  <pageSetup paperSize="5" scale="73" orientation="landscape" horizontalDpi="300" verticalDpi="300" r:id="rId1"/>
  <headerFooter alignWithMargins="0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66"/>
  <sheetViews>
    <sheetView topLeftCell="A19" workbookViewId="0">
      <selection activeCell="E17" sqref="E17"/>
    </sheetView>
  </sheetViews>
  <sheetFormatPr baseColWidth="10" defaultColWidth="14.85546875" defaultRowHeight="12.75"/>
  <cols>
    <col min="1" max="1" width="14.140625" style="866" customWidth="1"/>
    <col min="2" max="3" width="9.28515625" style="866" customWidth="1"/>
    <col min="4" max="5" width="11.140625" style="866" customWidth="1"/>
    <col min="6" max="6" width="13.7109375" style="866" customWidth="1"/>
    <col min="7" max="7" width="11.140625" style="866" customWidth="1"/>
    <col min="8" max="8" width="12.42578125" style="866" customWidth="1"/>
    <col min="9" max="16384" width="14.85546875" style="866"/>
  </cols>
  <sheetData>
    <row r="1" spans="1:35" ht="15.75">
      <c r="A1" s="863" t="s">
        <v>202</v>
      </c>
      <c r="B1" s="864"/>
      <c r="C1" s="864"/>
      <c r="D1" s="864"/>
      <c r="E1" s="864"/>
      <c r="F1" s="865"/>
      <c r="G1" s="865"/>
      <c r="H1" s="865"/>
      <c r="I1" s="776"/>
      <c r="J1" s="776"/>
      <c r="K1" s="776"/>
      <c r="L1" s="776"/>
      <c r="M1" s="776"/>
      <c r="N1" s="776"/>
      <c r="O1" s="776"/>
      <c r="P1" s="776"/>
      <c r="Q1" s="776"/>
      <c r="R1" s="776"/>
      <c r="S1" s="776"/>
      <c r="T1" s="776"/>
      <c r="U1" s="776"/>
      <c r="V1" s="776"/>
      <c r="W1" s="776"/>
      <c r="X1" s="776"/>
      <c r="Y1" s="776"/>
      <c r="Z1" s="776"/>
      <c r="AA1" s="776"/>
      <c r="AB1" s="776"/>
      <c r="AC1" s="776"/>
      <c r="AD1" s="776"/>
      <c r="AE1" s="776"/>
      <c r="AF1" s="776"/>
      <c r="AG1" s="776"/>
      <c r="AH1" s="776"/>
      <c r="AI1" s="776"/>
    </row>
    <row r="2" spans="1:35" ht="15.75">
      <c r="A2" s="863"/>
      <c r="B2" s="864"/>
      <c r="C2" s="864"/>
      <c r="D2" s="864"/>
      <c r="E2" s="864"/>
      <c r="F2" s="865"/>
      <c r="G2" s="865"/>
      <c r="H2" s="865"/>
      <c r="I2" s="776"/>
      <c r="J2" s="776"/>
      <c r="K2" s="776"/>
      <c r="L2" s="776"/>
      <c r="M2" s="776"/>
      <c r="N2" s="776"/>
      <c r="O2" s="776"/>
      <c r="P2" s="776"/>
      <c r="Q2" s="776"/>
      <c r="R2" s="776"/>
      <c r="S2" s="776"/>
      <c r="T2" s="776"/>
      <c r="U2" s="776"/>
      <c r="V2" s="776"/>
      <c r="W2" s="776"/>
      <c r="X2" s="776"/>
      <c r="Y2" s="776"/>
      <c r="Z2" s="776"/>
      <c r="AA2" s="776"/>
      <c r="AB2" s="776"/>
      <c r="AC2" s="776"/>
      <c r="AD2" s="776"/>
      <c r="AE2" s="776"/>
      <c r="AF2" s="776"/>
      <c r="AG2" s="776"/>
      <c r="AH2" s="776"/>
      <c r="AI2" s="776"/>
    </row>
    <row r="3" spans="1:35" ht="15.75">
      <c r="A3" s="863" t="s">
        <v>203</v>
      </c>
      <c r="B3" s="864"/>
      <c r="C3" s="864"/>
      <c r="D3" s="864"/>
      <c r="E3" s="864"/>
      <c r="F3" s="865"/>
      <c r="G3" s="865"/>
      <c r="H3" s="865"/>
      <c r="I3" s="776"/>
      <c r="J3" s="776"/>
      <c r="K3" s="776"/>
      <c r="L3" s="776"/>
      <c r="M3" s="776"/>
      <c r="N3" s="776"/>
      <c r="O3" s="776"/>
      <c r="P3" s="776"/>
      <c r="Q3" s="776"/>
      <c r="R3" s="776"/>
      <c r="S3" s="776"/>
      <c r="T3" s="776"/>
      <c r="U3" s="776"/>
      <c r="V3" s="776"/>
      <c r="W3" s="776"/>
      <c r="X3" s="776"/>
      <c r="Y3" s="776"/>
      <c r="Z3" s="776"/>
      <c r="AA3" s="776"/>
      <c r="AB3" s="776"/>
      <c r="AC3" s="776"/>
      <c r="AD3" s="776"/>
      <c r="AE3" s="776"/>
      <c r="AF3" s="776"/>
      <c r="AG3" s="776"/>
      <c r="AH3" s="776"/>
      <c r="AI3" s="776"/>
    </row>
    <row r="4" spans="1:35" ht="15.75">
      <c r="A4" s="863" t="s">
        <v>1455</v>
      </c>
      <c r="B4" s="864"/>
      <c r="C4" s="864"/>
      <c r="D4" s="864"/>
      <c r="E4" s="864"/>
      <c r="F4" s="865"/>
      <c r="G4" s="865"/>
      <c r="H4" s="865"/>
      <c r="I4" s="776"/>
      <c r="J4" s="776"/>
      <c r="K4" s="776"/>
      <c r="L4" s="776"/>
      <c r="M4" s="776"/>
      <c r="N4" s="776"/>
      <c r="O4" s="776"/>
      <c r="P4" s="776"/>
      <c r="Q4" s="776"/>
      <c r="R4" s="776"/>
      <c r="S4" s="776"/>
      <c r="T4" s="776"/>
      <c r="U4" s="776"/>
      <c r="V4" s="776"/>
      <c r="W4" s="776"/>
      <c r="X4" s="776"/>
      <c r="Y4" s="776"/>
      <c r="Z4" s="776"/>
      <c r="AA4" s="776"/>
      <c r="AB4" s="776"/>
      <c r="AC4" s="776"/>
      <c r="AD4" s="776"/>
      <c r="AE4" s="776"/>
      <c r="AF4" s="776"/>
      <c r="AG4" s="776"/>
      <c r="AH4" s="776"/>
      <c r="AI4" s="776"/>
    </row>
    <row r="5" spans="1:35" ht="15.75">
      <c r="B5" s="867"/>
      <c r="C5" s="867"/>
      <c r="D5" s="867"/>
      <c r="E5" s="867"/>
      <c r="F5" s="867"/>
      <c r="G5" s="867"/>
      <c r="H5" s="867"/>
      <c r="I5" s="776"/>
      <c r="J5" s="776"/>
      <c r="K5" s="776"/>
      <c r="L5" s="776"/>
      <c r="M5" s="776"/>
      <c r="N5" s="776"/>
      <c r="O5" s="776"/>
      <c r="P5" s="776"/>
      <c r="Q5" s="776"/>
      <c r="R5" s="776"/>
      <c r="S5" s="776"/>
      <c r="T5" s="776"/>
      <c r="U5" s="776"/>
      <c r="V5" s="776"/>
      <c r="W5" s="776"/>
      <c r="X5" s="776"/>
      <c r="Y5" s="776"/>
      <c r="Z5" s="776"/>
      <c r="AA5" s="776"/>
      <c r="AB5" s="776"/>
      <c r="AC5" s="776"/>
      <c r="AD5" s="776"/>
      <c r="AE5" s="776"/>
      <c r="AF5" s="776"/>
      <c r="AG5" s="776"/>
      <c r="AH5" s="776"/>
      <c r="AI5" s="776"/>
    </row>
    <row r="6" spans="1:35" ht="15.75">
      <c r="I6" s="776"/>
      <c r="J6" s="776"/>
      <c r="K6" s="776"/>
      <c r="L6" s="776"/>
      <c r="M6" s="776"/>
      <c r="N6" s="776"/>
      <c r="O6" s="776"/>
      <c r="P6" s="776"/>
      <c r="Q6" s="776"/>
      <c r="R6" s="776"/>
      <c r="S6" s="776"/>
      <c r="T6" s="776"/>
      <c r="U6" s="776"/>
      <c r="V6" s="776"/>
      <c r="W6" s="776"/>
      <c r="X6" s="776"/>
      <c r="Y6" s="776"/>
      <c r="Z6" s="776"/>
      <c r="AA6" s="776"/>
      <c r="AB6" s="776"/>
      <c r="AC6" s="776"/>
      <c r="AD6" s="776"/>
      <c r="AE6" s="776"/>
      <c r="AF6" s="776"/>
      <c r="AG6" s="776"/>
      <c r="AH6" s="776"/>
      <c r="AI6" s="776"/>
    </row>
    <row r="7" spans="1:35" ht="17.25" customHeight="1">
      <c r="B7" s="868"/>
      <c r="C7" s="869" t="s">
        <v>204</v>
      </c>
      <c r="D7" s="869" t="s">
        <v>205</v>
      </c>
      <c r="E7" s="870" t="s">
        <v>736</v>
      </c>
      <c r="F7" s="871" t="s">
        <v>206</v>
      </c>
      <c r="G7" s="872" t="s">
        <v>207</v>
      </c>
      <c r="H7" s="873"/>
      <c r="I7" s="776"/>
      <c r="J7" s="776"/>
      <c r="K7" s="776"/>
      <c r="L7" s="776"/>
      <c r="M7" s="776"/>
      <c r="N7" s="776"/>
      <c r="O7" s="776"/>
      <c r="P7" s="776"/>
      <c r="Q7" s="776"/>
      <c r="R7" s="776"/>
      <c r="S7" s="776"/>
      <c r="T7" s="776"/>
      <c r="U7" s="776"/>
      <c r="V7" s="776"/>
      <c r="W7" s="776"/>
      <c r="X7" s="776"/>
      <c r="Y7" s="776"/>
      <c r="Z7" s="776"/>
      <c r="AA7" s="776"/>
      <c r="AB7" s="776"/>
      <c r="AC7" s="776"/>
      <c r="AD7" s="776"/>
      <c r="AE7" s="776"/>
      <c r="AF7" s="776"/>
      <c r="AG7" s="776"/>
      <c r="AH7" s="776"/>
      <c r="AI7" s="776"/>
    </row>
    <row r="8" spans="1:35" ht="17.25" customHeight="1">
      <c r="B8" s="874" t="s">
        <v>709</v>
      </c>
      <c r="C8" s="875" t="s">
        <v>208</v>
      </c>
      <c r="D8" s="875" t="s">
        <v>208</v>
      </c>
      <c r="E8" s="876" t="s">
        <v>209</v>
      </c>
      <c r="F8" s="877" t="s">
        <v>210</v>
      </c>
      <c r="G8" s="878" t="s">
        <v>211</v>
      </c>
      <c r="H8" s="873"/>
      <c r="I8" s="776"/>
      <c r="J8" s="776"/>
      <c r="K8" s="776"/>
      <c r="L8" s="776"/>
      <c r="M8" s="776"/>
      <c r="N8" s="776"/>
      <c r="O8" s="776"/>
      <c r="P8" s="776"/>
      <c r="Q8" s="776"/>
      <c r="R8" s="776"/>
      <c r="S8" s="776"/>
      <c r="T8" s="776"/>
      <c r="U8" s="776"/>
      <c r="V8" s="776"/>
      <c r="W8" s="776"/>
      <c r="X8" s="776"/>
      <c r="Y8" s="776"/>
      <c r="Z8" s="776"/>
      <c r="AA8" s="776"/>
      <c r="AB8" s="776"/>
      <c r="AC8" s="776"/>
      <c r="AD8" s="776"/>
      <c r="AE8" s="776"/>
      <c r="AF8" s="776"/>
      <c r="AG8" s="776"/>
      <c r="AH8" s="776"/>
      <c r="AI8" s="776"/>
    </row>
    <row r="9" spans="1:35" ht="18.75" customHeight="1">
      <c r="B9" s="879">
        <v>2005</v>
      </c>
      <c r="C9" s="880">
        <f>+'92'!C9+'93'!C9+'94'!C9+'95'!C9+'96'!C9</f>
        <v>957</v>
      </c>
      <c r="D9" s="880">
        <f>+'92'!D9+'93'!D9+'94'!D9+'95'!D9+'96'!D9</f>
        <v>887</v>
      </c>
      <c r="E9" s="881">
        <f>+'92'!E9+'93'!E9+'94'!E9+'95'!E9+'96'!E9</f>
        <v>24193</v>
      </c>
      <c r="F9" s="882">
        <v>75.8</v>
      </c>
      <c r="G9" s="883">
        <v>15.88</v>
      </c>
      <c r="H9" s="873"/>
      <c r="I9" s="776"/>
      <c r="J9" s="776"/>
      <c r="K9" s="776"/>
      <c r="L9" s="776"/>
      <c r="M9" s="776"/>
      <c r="N9" s="776"/>
      <c r="O9" s="776"/>
      <c r="P9" s="776"/>
      <c r="Q9" s="776"/>
      <c r="R9" s="776"/>
      <c r="S9" s="776"/>
      <c r="T9" s="776"/>
      <c r="U9" s="776"/>
      <c r="V9" s="776"/>
      <c r="W9" s="776"/>
      <c r="X9" s="776"/>
      <c r="Y9" s="776"/>
      <c r="Z9" s="776"/>
      <c r="AA9" s="776"/>
      <c r="AB9" s="776"/>
      <c r="AC9" s="776"/>
      <c r="AD9" s="776"/>
      <c r="AE9" s="776"/>
      <c r="AF9" s="776"/>
      <c r="AG9" s="776"/>
      <c r="AH9" s="776"/>
      <c r="AI9" s="776"/>
    </row>
    <row r="10" spans="1:35" ht="18.75" customHeight="1">
      <c r="B10" s="884">
        <v>2006</v>
      </c>
      <c r="C10" s="881">
        <f>+'92'!C10+'93'!C10+'94'!C10+'95'!C10+'96'!C10</f>
        <v>957</v>
      </c>
      <c r="D10" s="885">
        <f>+'92'!D10+'93'!D10+'94'!D10+'95'!D10+'96'!D10</f>
        <v>895</v>
      </c>
      <c r="E10" s="881">
        <f>+'92'!E10+'93'!E10+'94'!E10+'95'!E10+'96'!E10</f>
        <v>24645</v>
      </c>
      <c r="F10" s="882">
        <v>74.2</v>
      </c>
      <c r="G10" s="883">
        <v>16.8</v>
      </c>
      <c r="H10" s="873"/>
      <c r="I10" s="776"/>
      <c r="J10" s="776"/>
      <c r="K10" s="776"/>
      <c r="L10" s="776"/>
      <c r="M10" s="776"/>
      <c r="N10" s="776"/>
      <c r="O10" s="776"/>
      <c r="P10" s="776"/>
      <c r="Q10" s="776"/>
      <c r="R10" s="776"/>
      <c r="S10" s="776"/>
      <c r="T10" s="776"/>
      <c r="U10" s="776"/>
      <c r="V10" s="776"/>
      <c r="W10" s="776"/>
      <c r="X10" s="776"/>
      <c r="Y10" s="776"/>
      <c r="Z10" s="776"/>
      <c r="AA10" s="776"/>
      <c r="AB10" s="776"/>
      <c r="AC10" s="776"/>
      <c r="AD10" s="776"/>
      <c r="AE10" s="776"/>
      <c r="AF10" s="776"/>
      <c r="AG10" s="776"/>
      <c r="AH10" s="776"/>
      <c r="AI10" s="776"/>
    </row>
    <row r="11" spans="1:35" ht="18.75" customHeight="1">
      <c r="B11" s="884">
        <v>2007</v>
      </c>
      <c r="C11" s="881">
        <f>+'92'!C11+'93'!C11+'94'!C11+'95'!C11+'96'!C11</f>
        <v>957</v>
      </c>
      <c r="D11" s="885">
        <f>+'92'!D11+'93'!D11+'94'!D11+'95'!D11+'96'!D11</f>
        <v>889</v>
      </c>
      <c r="E11" s="881">
        <f>+'92'!E11+'93'!E11+'94'!E11+'95'!E11+'96'!E11</f>
        <v>24688</v>
      </c>
      <c r="F11" s="882">
        <v>73.900000000000006</v>
      </c>
      <c r="G11" s="883">
        <v>16.63</v>
      </c>
      <c r="H11" s="873"/>
      <c r="I11" s="776"/>
      <c r="J11" s="776"/>
      <c r="K11" s="776"/>
      <c r="L11" s="776"/>
      <c r="M11" s="776"/>
      <c r="N11" s="776"/>
      <c r="O11" s="776"/>
      <c r="P11" s="776"/>
      <c r="Q11" s="776"/>
      <c r="R11" s="776"/>
      <c r="S11" s="776"/>
      <c r="T11" s="776"/>
      <c r="U11" s="776"/>
      <c r="V11" s="776"/>
      <c r="W11" s="776"/>
      <c r="X11" s="776"/>
      <c r="Y11" s="776"/>
      <c r="Z11" s="776"/>
      <c r="AA11" s="776"/>
      <c r="AB11" s="776"/>
      <c r="AC11" s="776"/>
      <c r="AD11" s="776"/>
      <c r="AE11" s="776"/>
      <c r="AF11" s="776"/>
      <c r="AG11" s="776"/>
      <c r="AH11" s="776"/>
      <c r="AI11" s="776"/>
    </row>
    <row r="12" spans="1:35" ht="18.75" customHeight="1">
      <c r="B12" s="884">
        <v>2008</v>
      </c>
      <c r="C12" s="881">
        <f>+'92'!C12+'93'!C12+'94'!C12+'95'!C12+'96'!C12</f>
        <v>957</v>
      </c>
      <c r="D12" s="885">
        <f>+'92'!D12+'93'!D12+'94'!D12+'95'!D12+'96'!D12</f>
        <v>842</v>
      </c>
      <c r="E12" s="881">
        <f>+'92'!E12+'93'!E12+'94'!E12+'95'!E12+'96'!E12</f>
        <v>23453</v>
      </c>
      <c r="F12" s="882">
        <v>74.8</v>
      </c>
      <c r="G12" s="883">
        <v>9.01</v>
      </c>
      <c r="H12" s="873"/>
      <c r="I12" s="776"/>
      <c r="J12" s="776"/>
      <c r="K12" s="776"/>
      <c r="L12" s="776"/>
      <c r="M12" s="776"/>
      <c r="N12" s="776"/>
      <c r="O12" s="776"/>
      <c r="P12" s="776"/>
      <c r="Q12" s="776"/>
      <c r="R12" s="776"/>
      <c r="S12" s="776"/>
      <c r="T12" s="776"/>
      <c r="U12" s="776"/>
      <c r="V12" s="776"/>
      <c r="W12" s="776"/>
      <c r="X12" s="776"/>
      <c r="Y12" s="776"/>
      <c r="Z12" s="776"/>
      <c r="AA12" s="776"/>
      <c r="AB12" s="776"/>
      <c r="AC12" s="776"/>
      <c r="AD12" s="776"/>
      <c r="AE12" s="776"/>
      <c r="AF12" s="776"/>
      <c r="AG12" s="776"/>
      <c r="AH12" s="776"/>
      <c r="AI12" s="776"/>
    </row>
    <row r="13" spans="1:35" ht="18" customHeight="1">
      <c r="B13" s="884">
        <v>2009</v>
      </c>
      <c r="C13" s="881">
        <f>+'92'!C13+'93'!C13+'94'!C13+'95'!C13+'96'!C13</f>
        <v>939</v>
      </c>
      <c r="D13" s="885">
        <f>+'92'!D13+'93'!D13+'94'!D13+'95'!D13+'96'!D13</f>
        <v>785</v>
      </c>
      <c r="E13" s="881">
        <f>+'92'!E13+'93'!E13+'94'!E13+'95'!E13+'96'!E13</f>
        <v>22222</v>
      </c>
      <c r="F13" s="882">
        <v>75.552176885180216</v>
      </c>
      <c r="G13" s="883">
        <v>14.115164816962068</v>
      </c>
      <c r="H13" s="873"/>
      <c r="I13" s="776"/>
      <c r="J13" s="776"/>
      <c r="K13" s="776"/>
      <c r="L13" s="776"/>
      <c r="M13" s="776"/>
      <c r="N13" s="776"/>
      <c r="O13" s="776"/>
      <c r="P13" s="776"/>
      <c r="Q13" s="776"/>
      <c r="R13" s="776"/>
      <c r="S13" s="776"/>
      <c r="T13" s="776"/>
      <c r="U13" s="776"/>
      <c r="V13" s="776"/>
      <c r="W13" s="776"/>
      <c r="X13" s="776"/>
      <c r="Y13" s="776"/>
      <c r="Z13" s="776"/>
      <c r="AA13" s="776"/>
      <c r="AB13" s="776"/>
      <c r="AC13" s="776"/>
      <c r="AD13" s="776"/>
      <c r="AE13" s="776"/>
      <c r="AF13" s="776"/>
      <c r="AG13" s="776"/>
      <c r="AH13" s="776"/>
      <c r="AI13" s="776"/>
    </row>
    <row r="14" spans="1:35" ht="18" customHeight="1">
      <c r="B14" s="884">
        <v>2010</v>
      </c>
      <c r="C14" s="881">
        <f>+'92'!C14+'93'!C14+'94'!C14+'95'!C14+'96'!C14</f>
        <v>939</v>
      </c>
      <c r="D14" s="885">
        <f>+'92'!D14+'93'!D14+'94'!D14+'95'!D14+'96'!D14</f>
        <v>738</v>
      </c>
      <c r="E14" s="881">
        <f>+'92'!E14+'93'!E14+'94'!E14+'95'!E14+'96'!E14</f>
        <v>22499</v>
      </c>
      <c r="F14" s="882">
        <v>73.5</v>
      </c>
      <c r="G14" s="883">
        <v>10.52</v>
      </c>
      <c r="H14" s="873"/>
      <c r="I14" s="776"/>
      <c r="J14" s="776"/>
      <c r="K14" s="776"/>
      <c r="L14" s="776"/>
      <c r="M14" s="776"/>
      <c r="N14" s="776"/>
      <c r="O14" s="776"/>
      <c r="P14" s="776"/>
      <c r="Q14" s="776"/>
      <c r="R14" s="776"/>
      <c r="S14" s="776"/>
      <c r="T14" s="776"/>
      <c r="U14" s="776"/>
      <c r="V14" s="776"/>
      <c r="W14" s="776"/>
      <c r="X14" s="776"/>
      <c r="Y14" s="776"/>
      <c r="Z14" s="776"/>
      <c r="AA14" s="776"/>
      <c r="AB14" s="776"/>
      <c r="AC14" s="776"/>
      <c r="AD14" s="776"/>
      <c r="AE14" s="776"/>
      <c r="AF14" s="776"/>
      <c r="AG14" s="776"/>
      <c r="AH14" s="776"/>
      <c r="AI14" s="776"/>
    </row>
    <row r="15" spans="1:35" ht="18" customHeight="1">
      <c r="B15" s="884">
        <v>2011</v>
      </c>
      <c r="C15" s="881">
        <f>+'92'!C15+'93'!C15+'94'!C15+'95'!C15+'96'!C15</f>
        <v>816</v>
      </c>
      <c r="D15" s="885">
        <f>+'92'!D15+'93'!D15+'94'!D15+'95'!D15+'96'!D15</f>
        <v>762</v>
      </c>
      <c r="E15" s="881">
        <f>+'92'!E15+'93'!E15+'94'!E15+'95'!E15+'96'!E15</f>
        <v>24229</v>
      </c>
      <c r="F15" s="882">
        <v>76.3</v>
      </c>
      <c r="G15" s="883">
        <v>14.34</v>
      </c>
      <c r="H15" s="873"/>
      <c r="I15" s="776"/>
      <c r="J15" s="776"/>
      <c r="K15" s="776"/>
      <c r="L15" s="776"/>
      <c r="M15" s="776"/>
      <c r="N15" s="776"/>
      <c r="O15" s="776"/>
      <c r="P15" s="776"/>
      <c r="Q15" s="776"/>
      <c r="R15" s="776"/>
      <c r="S15" s="776"/>
      <c r="T15" s="776"/>
      <c r="U15" s="776"/>
      <c r="V15" s="776"/>
      <c r="W15" s="776"/>
      <c r="X15" s="776"/>
      <c r="Y15" s="776"/>
      <c r="Z15" s="776"/>
      <c r="AA15" s="776"/>
      <c r="AB15" s="776"/>
      <c r="AC15" s="776"/>
      <c r="AD15" s="776"/>
      <c r="AE15" s="776"/>
      <c r="AF15" s="776"/>
      <c r="AG15" s="776"/>
      <c r="AH15" s="776"/>
      <c r="AI15" s="776"/>
    </row>
    <row r="16" spans="1:35" ht="18" customHeight="1">
      <c r="B16" s="884">
        <v>2012</v>
      </c>
      <c r="C16" s="881">
        <f>+'92'!C16+'93'!C16+'94'!C16+'95'!C16+'96'!C16</f>
        <v>816</v>
      </c>
      <c r="D16" s="885">
        <f>+'92'!D16+'93'!D16+'94'!D16+'95'!D16+'96'!D16</f>
        <v>785</v>
      </c>
      <c r="E16" s="881">
        <f>+'92'!E16+'93'!E16+'94'!E16+'95'!E16+'96'!E16</f>
        <v>24975</v>
      </c>
      <c r="F16" s="882">
        <v>79.400000000000006</v>
      </c>
      <c r="G16" s="883">
        <v>10.76</v>
      </c>
      <c r="H16" s="873"/>
      <c r="I16" s="776"/>
      <c r="J16" s="776"/>
      <c r="K16" s="776"/>
      <c r="L16" s="776"/>
      <c r="M16" s="776"/>
      <c r="N16" s="776"/>
      <c r="O16" s="776"/>
      <c r="P16" s="776"/>
      <c r="Q16" s="776"/>
      <c r="R16" s="776"/>
      <c r="S16" s="776"/>
      <c r="T16" s="776"/>
      <c r="U16" s="776"/>
      <c r="V16" s="776"/>
      <c r="W16" s="776"/>
      <c r="X16" s="776"/>
      <c r="Y16" s="776"/>
      <c r="Z16" s="776"/>
      <c r="AA16" s="776"/>
      <c r="AB16" s="776"/>
      <c r="AC16" s="776"/>
      <c r="AD16" s="776"/>
      <c r="AE16" s="776"/>
      <c r="AF16" s="776"/>
      <c r="AG16" s="776"/>
      <c r="AH16" s="776"/>
      <c r="AI16" s="776"/>
    </row>
    <row r="17" spans="2:35" ht="18" customHeight="1">
      <c r="B17" s="884">
        <v>2013</v>
      </c>
      <c r="C17" s="886">
        <f>+'92'!C17+'93'!C17+'94'!C17+'95'!C17+'96'!C17</f>
        <v>816</v>
      </c>
      <c r="D17" s="887">
        <f>+'92'!D17+'93'!D17+'94'!D17+'95'!D17+'96'!D17</f>
        <v>765.23013698630132</v>
      </c>
      <c r="E17" s="886">
        <f>+'92'!E17+'93'!E17+'94'!E17+'95'!E17+'96'!E17</f>
        <v>24175</v>
      </c>
      <c r="F17" s="888">
        <v>80.425263775961383</v>
      </c>
      <c r="G17" s="889">
        <v>9.5870941054808689</v>
      </c>
      <c r="H17" s="873"/>
      <c r="I17" s="776"/>
      <c r="J17" s="776"/>
      <c r="K17" s="776"/>
      <c r="L17" s="776"/>
      <c r="M17" s="776"/>
      <c r="N17" s="776"/>
      <c r="O17" s="776"/>
      <c r="P17" s="776"/>
      <c r="Q17" s="776"/>
      <c r="R17" s="776"/>
      <c r="S17" s="776"/>
      <c r="T17" s="776"/>
      <c r="U17" s="776"/>
      <c r="V17" s="776"/>
      <c r="W17" s="776"/>
      <c r="X17" s="776"/>
      <c r="Y17" s="776"/>
      <c r="Z17" s="776"/>
      <c r="AA17" s="776"/>
      <c r="AB17" s="776"/>
      <c r="AC17" s="776"/>
      <c r="AD17" s="776"/>
      <c r="AE17" s="776"/>
      <c r="AF17" s="776"/>
      <c r="AG17" s="776"/>
      <c r="AH17" s="776"/>
      <c r="AI17" s="776"/>
    </row>
    <row r="18" spans="2:35" ht="18.75" customHeight="1">
      <c r="B18" s="890">
        <v>2014</v>
      </c>
      <c r="C18" s="891">
        <f>+'92'!C18+'93'!C18+'94'!C18+'95'!C18+'96'!C18</f>
        <v>829</v>
      </c>
      <c r="D18" s="892">
        <f>+'92'!D18+'93'!D18+'94'!D18+'95'!D18+'96'!D18</f>
        <v>786.29041095890409</v>
      </c>
      <c r="E18" s="891">
        <f>+'92'!E18+'93'!E18+'94'!E18+'95'!E18+'96'!E18</f>
        <v>24626</v>
      </c>
      <c r="F18" s="893">
        <f>+'85'!V12</f>
        <v>81.47988125270038</v>
      </c>
      <c r="G18" s="894">
        <f>+'85'!W12</f>
        <v>9.6418419556566235</v>
      </c>
      <c r="H18" s="873"/>
      <c r="I18" s="776"/>
      <c r="J18" s="776"/>
      <c r="K18" s="776"/>
      <c r="L18" s="776"/>
      <c r="M18" s="776"/>
      <c r="N18" s="776"/>
      <c r="O18" s="776"/>
      <c r="P18" s="776"/>
      <c r="Q18" s="776"/>
      <c r="R18" s="776"/>
      <c r="S18" s="776"/>
      <c r="T18" s="776"/>
      <c r="U18" s="776"/>
      <c r="V18" s="776"/>
      <c r="W18" s="776"/>
      <c r="X18" s="776"/>
      <c r="Y18" s="776"/>
      <c r="Z18" s="776"/>
      <c r="AA18" s="776"/>
      <c r="AB18" s="776"/>
      <c r="AC18" s="776"/>
      <c r="AD18" s="776"/>
      <c r="AE18" s="776"/>
      <c r="AF18" s="776"/>
      <c r="AG18" s="776"/>
      <c r="AH18" s="776"/>
      <c r="AI18" s="776"/>
    </row>
    <row r="19" spans="2:35" ht="12" customHeight="1">
      <c r="B19" s="895"/>
      <c r="C19" s="895"/>
      <c r="D19" s="895"/>
      <c r="E19" s="881"/>
      <c r="F19" s="881"/>
      <c r="G19" s="896"/>
      <c r="H19" s="873"/>
      <c r="I19" s="776"/>
      <c r="J19" s="776"/>
      <c r="K19" s="776"/>
      <c r="L19" s="776"/>
      <c r="M19" s="776"/>
      <c r="N19" s="776"/>
      <c r="O19" s="776"/>
      <c r="P19" s="776"/>
      <c r="Q19" s="776"/>
      <c r="R19" s="776"/>
      <c r="S19" s="776"/>
      <c r="T19" s="776"/>
      <c r="U19" s="776"/>
      <c r="V19" s="776"/>
      <c r="W19" s="776"/>
      <c r="X19" s="776"/>
      <c r="Y19" s="776"/>
      <c r="Z19" s="776"/>
      <c r="AA19" s="776"/>
      <c r="AB19" s="776"/>
      <c r="AC19" s="776"/>
      <c r="AD19" s="776"/>
      <c r="AE19" s="776"/>
      <c r="AF19" s="776"/>
      <c r="AG19" s="776"/>
      <c r="AH19" s="776"/>
      <c r="AI19" s="776"/>
    </row>
    <row r="20" spans="2:35" ht="12" customHeight="1">
      <c r="B20" s="897"/>
      <c r="C20" s="897"/>
      <c r="D20" s="897"/>
      <c r="E20" s="873"/>
      <c r="F20" s="873"/>
      <c r="G20" s="873"/>
      <c r="H20" s="873"/>
      <c r="I20" s="776"/>
      <c r="J20" s="776"/>
      <c r="K20" s="776"/>
      <c r="L20" s="776"/>
      <c r="M20" s="776"/>
      <c r="N20" s="776"/>
      <c r="O20" s="776"/>
      <c r="P20" s="776"/>
      <c r="Q20" s="776"/>
      <c r="R20" s="776"/>
      <c r="S20" s="776"/>
      <c r="T20" s="776"/>
      <c r="U20" s="776"/>
      <c r="V20" s="776"/>
      <c r="W20" s="776"/>
      <c r="X20" s="776"/>
      <c r="Y20" s="776"/>
      <c r="Z20" s="776"/>
      <c r="AA20" s="776"/>
      <c r="AB20" s="776"/>
      <c r="AC20" s="776"/>
      <c r="AD20" s="776"/>
      <c r="AE20" s="776"/>
      <c r="AF20" s="776"/>
      <c r="AG20" s="776"/>
      <c r="AH20" s="776"/>
      <c r="AI20" s="776"/>
    </row>
    <row r="21" spans="2:35" ht="12" customHeight="1">
      <c r="B21" s="897"/>
      <c r="C21" s="897"/>
      <c r="D21" s="897"/>
      <c r="E21" s="873"/>
      <c r="F21" s="873"/>
      <c r="G21" s="873"/>
      <c r="H21" s="873"/>
      <c r="I21" s="776"/>
      <c r="J21" s="776"/>
      <c r="K21" s="776"/>
      <c r="L21" s="776"/>
      <c r="M21" s="776"/>
      <c r="N21" s="776"/>
      <c r="O21" s="776"/>
      <c r="P21" s="776"/>
      <c r="Q21" s="776"/>
      <c r="R21" s="776"/>
      <c r="S21" s="776"/>
      <c r="T21" s="776"/>
      <c r="U21" s="776"/>
      <c r="V21" s="776"/>
      <c r="W21" s="776"/>
      <c r="X21" s="776"/>
      <c r="Y21" s="776"/>
      <c r="Z21" s="776"/>
      <c r="AA21" s="776"/>
      <c r="AB21" s="776"/>
      <c r="AC21" s="776"/>
      <c r="AD21" s="776"/>
      <c r="AE21" s="776"/>
      <c r="AF21" s="776"/>
      <c r="AG21" s="776"/>
      <c r="AH21" s="776"/>
      <c r="AI21" s="776"/>
    </row>
    <row r="22" spans="2:35" ht="12" customHeight="1">
      <c r="B22" s="897"/>
      <c r="C22" s="897"/>
      <c r="D22" s="897"/>
      <c r="E22" s="873"/>
      <c r="F22" s="873"/>
      <c r="G22" s="873"/>
      <c r="H22" s="873"/>
      <c r="I22" s="776"/>
      <c r="J22" s="776"/>
      <c r="K22" s="776"/>
      <c r="L22" s="776"/>
      <c r="M22" s="776"/>
      <c r="N22" s="776"/>
      <c r="O22" s="776"/>
      <c r="P22" s="776"/>
      <c r="Q22" s="776"/>
      <c r="R22" s="776"/>
      <c r="S22" s="776"/>
      <c r="T22" s="776"/>
      <c r="U22" s="776"/>
      <c r="V22" s="776"/>
      <c r="W22" s="776"/>
      <c r="X22" s="776"/>
      <c r="Y22" s="776"/>
      <c r="Z22" s="776"/>
      <c r="AA22" s="776"/>
      <c r="AB22" s="776"/>
      <c r="AC22" s="776"/>
      <c r="AD22" s="776"/>
      <c r="AE22" s="776"/>
      <c r="AF22" s="776"/>
      <c r="AG22" s="776"/>
      <c r="AH22" s="776"/>
      <c r="AI22" s="776"/>
    </row>
    <row r="23" spans="2:35" ht="12" customHeight="1">
      <c r="B23" s="897"/>
      <c r="C23" s="897"/>
      <c r="D23" s="897"/>
      <c r="E23" s="897"/>
      <c r="F23" s="897"/>
      <c r="G23" s="897"/>
      <c r="H23" s="897"/>
      <c r="I23" s="776"/>
      <c r="J23" s="776"/>
      <c r="K23" s="776"/>
      <c r="L23" s="776"/>
      <c r="M23" s="776"/>
      <c r="N23" s="776"/>
      <c r="O23" s="776"/>
      <c r="P23" s="776"/>
      <c r="Q23" s="776"/>
      <c r="R23" s="776"/>
      <c r="S23" s="776"/>
      <c r="T23" s="776"/>
      <c r="U23" s="776"/>
      <c r="V23" s="776"/>
      <c r="W23" s="776"/>
      <c r="X23" s="776"/>
      <c r="Y23" s="776"/>
      <c r="Z23" s="776"/>
      <c r="AA23" s="776"/>
      <c r="AB23" s="776"/>
      <c r="AC23" s="776"/>
      <c r="AD23" s="776"/>
      <c r="AE23" s="776"/>
      <c r="AF23" s="776"/>
      <c r="AG23" s="776"/>
      <c r="AH23" s="776"/>
      <c r="AI23" s="776"/>
    </row>
    <row r="24" spans="2:35" ht="12" customHeight="1">
      <c r="I24" s="776"/>
      <c r="J24" s="776"/>
      <c r="K24" s="776"/>
      <c r="L24" s="776"/>
      <c r="M24" s="776"/>
      <c r="N24" s="776"/>
      <c r="O24" s="776"/>
      <c r="P24" s="776"/>
      <c r="Q24" s="776"/>
      <c r="R24" s="776"/>
      <c r="S24" s="776"/>
      <c r="T24" s="776"/>
      <c r="U24" s="776"/>
      <c r="V24" s="776"/>
      <c r="W24" s="776"/>
      <c r="X24" s="776"/>
      <c r="Y24" s="776"/>
      <c r="Z24" s="776"/>
      <c r="AA24" s="776"/>
      <c r="AB24" s="776"/>
      <c r="AC24" s="776"/>
      <c r="AD24" s="776"/>
      <c r="AE24" s="776"/>
      <c r="AF24" s="776"/>
      <c r="AG24" s="776"/>
      <c r="AH24" s="776"/>
      <c r="AI24" s="776"/>
    </row>
    <row r="25" spans="2:35" ht="12" customHeight="1">
      <c r="I25" s="776"/>
      <c r="J25" s="776"/>
      <c r="K25" s="776"/>
      <c r="L25" s="776"/>
      <c r="M25" s="776"/>
      <c r="N25" s="776"/>
      <c r="O25" s="776"/>
      <c r="P25" s="776"/>
      <c r="Q25" s="776"/>
      <c r="R25" s="776"/>
      <c r="S25" s="776"/>
      <c r="T25" s="776"/>
      <c r="U25" s="776"/>
      <c r="V25" s="776"/>
      <c r="W25" s="776"/>
      <c r="X25" s="776"/>
      <c r="Y25" s="776"/>
      <c r="Z25" s="776"/>
      <c r="AA25" s="776"/>
      <c r="AB25" s="776"/>
      <c r="AC25" s="776"/>
      <c r="AD25" s="776"/>
      <c r="AE25" s="776"/>
      <c r="AF25" s="776"/>
      <c r="AG25" s="776"/>
      <c r="AH25" s="776"/>
      <c r="AI25" s="776"/>
    </row>
    <row r="26" spans="2:35" ht="12" customHeight="1">
      <c r="I26" s="776"/>
      <c r="J26" s="776"/>
      <c r="K26" s="776"/>
      <c r="L26" s="776"/>
      <c r="M26" s="776"/>
      <c r="N26" s="776"/>
      <c r="O26" s="776"/>
      <c r="P26" s="776"/>
      <c r="Q26" s="776"/>
      <c r="R26" s="776"/>
      <c r="S26" s="776"/>
      <c r="T26" s="776"/>
      <c r="U26" s="776"/>
      <c r="V26" s="776"/>
      <c r="W26" s="776"/>
      <c r="X26" s="776"/>
      <c r="Y26" s="776"/>
      <c r="Z26" s="776"/>
      <c r="AA26" s="776"/>
      <c r="AB26" s="776"/>
      <c r="AC26" s="776"/>
      <c r="AD26" s="776"/>
      <c r="AE26" s="776"/>
      <c r="AF26" s="776"/>
      <c r="AG26" s="776"/>
      <c r="AH26" s="776"/>
      <c r="AI26" s="776"/>
    </row>
    <row r="27" spans="2:35" ht="12" customHeight="1">
      <c r="I27" s="776"/>
      <c r="J27" s="776"/>
      <c r="K27" s="776"/>
      <c r="L27" s="776"/>
      <c r="M27" s="776"/>
      <c r="N27" s="776"/>
      <c r="O27" s="776"/>
      <c r="P27" s="776"/>
      <c r="Q27" s="776"/>
      <c r="R27" s="776"/>
      <c r="S27" s="776"/>
      <c r="T27" s="776"/>
      <c r="U27" s="776"/>
      <c r="V27" s="776"/>
      <c r="W27" s="776"/>
      <c r="X27" s="776"/>
      <c r="Y27" s="776"/>
      <c r="Z27" s="776"/>
      <c r="AA27" s="776"/>
      <c r="AB27" s="776"/>
      <c r="AC27" s="776"/>
      <c r="AD27" s="776"/>
      <c r="AE27" s="776"/>
      <c r="AF27" s="776"/>
      <c r="AG27" s="776"/>
      <c r="AH27" s="776"/>
      <c r="AI27" s="776"/>
    </row>
    <row r="28" spans="2:35" ht="12" customHeight="1">
      <c r="I28" s="776"/>
      <c r="J28" s="776"/>
      <c r="K28" s="776"/>
      <c r="L28" s="776"/>
      <c r="M28" s="776"/>
      <c r="N28" s="776"/>
      <c r="O28" s="776"/>
      <c r="P28" s="776"/>
      <c r="Q28" s="776"/>
      <c r="R28" s="776"/>
      <c r="S28" s="776"/>
      <c r="T28" s="776"/>
      <c r="U28" s="776"/>
      <c r="V28" s="776"/>
      <c r="W28" s="776"/>
      <c r="X28" s="776"/>
      <c r="Y28" s="776"/>
      <c r="Z28" s="776"/>
      <c r="AA28" s="776"/>
      <c r="AB28" s="776"/>
      <c r="AC28" s="776"/>
      <c r="AD28" s="776"/>
      <c r="AE28" s="776"/>
      <c r="AF28" s="776"/>
      <c r="AG28" s="776"/>
      <c r="AH28" s="776"/>
      <c r="AI28" s="776"/>
    </row>
    <row r="29" spans="2:35" ht="12" customHeight="1">
      <c r="I29" s="776"/>
      <c r="J29" s="776"/>
      <c r="K29" s="776"/>
      <c r="L29" s="776"/>
      <c r="M29" s="776"/>
      <c r="N29" s="776"/>
      <c r="O29" s="776"/>
      <c r="P29" s="776"/>
      <c r="Q29" s="776"/>
      <c r="R29" s="776"/>
      <c r="S29" s="776"/>
      <c r="T29" s="776"/>
      <c r="U29" s="776"/>
      <c r="V29" s="776"/>
      <c r="W29" s="776"/>
      <c r="X29" s="776"/>
      <c r="Y29" s="776"/>
      <c r="Z29" s="776"/>
      <c r="AA29" s="776"/>
      <c r="AB29" s="776"/>
      <c r="AC29" s="776"/>
      <c r="AD29" s="776"/>
      <c r="AE29" s="776"/>
      <c r="AF29" s="776"/>
      <c r="AG29" s="776"/>
      <c r="AH29" s="776"/>
      <c r="AI29" s="776"/>
    </row>
    <row r="30" spans="2:35" ht="12" customHeight="1">
      <c r="I30" s="776"/>
      <c r="J30" s="776"/>
      <c r="K30" s="776"/>
      <c r="L30" s="776"/>
      <c r="M30" s="776"/>
      <c r="N30" s="776"/>
      <c r="O30" s="776"/>
      <c r="P30" s="776"/>
      <c r="Q30" s="776"/>
      <c r="R30" s="776"/>
      <c r="S30" s="776"/>
      <c r="T30" s="776"/>
      <c r="U30" s="776"/>
      <c r="V30" s="776"/>
      <c r="W30" s="776"/>
      <c r="X30" s="776"/>
      <c r="Y30" s="776"/>
      <c r="Z30" s="776"/>
      <c r="AA30" s="776"/>
      <c r="AB30" s="776"/>
      <c r="AC30" s="776"/>
      <c r="AD30" s="776"/>
      <c r="AE30" s="776"/>
      <c r="AF30" s="776"/>
      <c r="AG30" s="776"/>
      <c r="AH30" s="776"/>
      <c r="AI30" s="776"/>
    </row>
    <row r="31" spans="2:35" ht="12" customHeight="1">
      <c r="I31" s="776"/>
      <c r="J31" s="776"/>
      <c r="K31" s="776"/>
      <c r="L31" s="776"/>
      <c r="M31" s="776"/>
      <c r="N31" s="776"/>
      <c r="O31" s="776"/>
      <c r="P31" s="776"/>
      <c r="Q31" s="776"/>
      <c r="R31" s="776"/>
      <c r="S31" s="776"/>
      <c r="T31" s="776"/>
      <c r="U31" s="776"/>
      <c r="V31" s="776"/>
      <c r="W31" s="776"/>
      <c r="X31" s="776"/>
      <c r="Y31" s="776"/>
      <c r="Z31" s="776"/>
      <c r="AA31" s="776"/>
      <c r="AB31" s="776"/>
      <c r="AC31" s="776"/>
      <c r="AD31" s="776"/>
      <c r="AE31" s="776"/>
      <c r="AF31" s="776"/>
      <c r="AG31" s="776"/>
      <c r="AH31" s="776"/>
      <c r="AI31" s="776"/>
    </row>
    <row r="32" spans="2:35" ht="12" customHeight="1">
      <c r="I32" s="776"/>
      <c r="J32" s="776"/>
      <c r="K32" s="776"/>
      <c r="L32" s="776"/>
      <c r="M32" s="776"/>
      <c r="N32" s="776"/>
      <c r="O32" s="776"/>
      <c r="P32" s="776"/>
      <c r="Q32" s="776"/>
      <c r="R32" s="776"/>
      <c r="S32" s="776"/>
      <c r="T32" s="776"/>
      <c r="U32" s="776"/>
      <c r="V32" s="776"/>
      <c r="W32" s="776"/>
      <c r="X32" s="776"/>
      <c r="Y32" s="776"/>
      <c r="Z32" s="776"/>
      <c r="AA32" s="776"/>
      <c r="AB32" s="776"/>
      <c r="AC32" s="776"/>
      <c r="AD32" s="776"/>
      <c r="AE32" s="776"/>
      <c r="AF32" s="776"/>
      <c r="AG32" s="776"/>
      <c r="AH32" s="776"/>
      <c r="AI32" s="776"/>
    </row>
    <row r="33" spans="2:35" ht="12" customHeight="1">
      <c r="I33" s="776"/>
      <c r="J33" s="776"/>
      <c r="K33" s="776"/>
      <c r="L33" s="776"/>
      <c r="M33" s="776"/>
      <c r="N33" s="776"/>
      <c r="O33" s="776"/>
      <c r="P33" s="776"/>
      <c r="Q33" s="776"/>
      <c r="R33" s="776"/>
      <c r="S33" s="776"/>
      <c r="T33" s="776"/>
      <c r="U33" s="776"/>
      <c r="V33" s="776"/>
      <c r="W33" s="776"/>
      <c r="X33" s="776"/>
      <c r="Y33" s="776"/>
      <c r="Z33" s="776"/>
      <c r="AA33" s="776"/>
      <c r="AB33" s="776"/>
      <c r="AC33" s="776"/>
      <c r="AD33" s="776"/>
      <c r="AE33" s="776"/>
      <c r="AF33" s="776"/>
      <c r="AG33" s="776"/>
      <c r="AH33" s="776"/>
      <c r="AI33" s="776"/>
    </row>
    <row r="34" spans="2:35" ht="12" customHeight="1">
      <c r="I34" s="776"/>
      <c r="J34" s="776"/>
      <c r="K34" s="776"/>
      <c r="L34" s="776"/>
      <c r="M34" s="776"/>
      <c r="N34" s="776"/>
      <c r="O34" s="776"/>
      <c r="P34" s="776"/>
      <c r="Q34" s="776"/>
      <c r="R34" s="776"/>
      <c r="S34" s="776"/>
      <c r="T34" s="776"/>
      <c r="U34" s="776"/>
      <c r="V34" s="776"/>
      <c r="W34" s="776"/>
      <c r="X34" s="776"/>
      <c r="Y34" s="776"/>
      <c r="Z34" s="776"/>
      <c r="AA34" s="776"/>
      <c r="AB34" s="776"/>
      <c r="AC34" s="776"/>
      <c r="AD34" s="776"/>
      <c r="AE34" s="776"/>
      <c r="AF34" s="776"/>
      <c r="AG34" s="776"/>
      <c r="AH34" s="776"/>
      <c r="AI34" s="776"/>
    </row>
    <row r="35" spans="2:35" ht="12" customHeight="1">
      <c r="B35" s="897"/>
      <c r="C35" s="897"/>
      <c r="D35" s="897"/>
      <c r="E35" s="873"/>
      <c r="F35" s="873"/>
      <c r="G35" s="873"/>
      <c r="I35" s="776"/>
      <c r="J35" s="776"/>
      <c r="K35" s="776"/>
      <c r="L35" s="776"/>
      <c r="M35" s="776"/>
      <c r="N35" s="776"/>
      <c r="O35" s="776"/>
      <c r="P35" s="776"/>
      <c r="Q35" s="776"/>
      <c r="R35" s="776"/>
      <c r="S35" s="776"/>
      <c r="T35" s="776"/>
      <c r="U35" s="776"/>
      <c r="V35" s="776"/>
      <c r="W35" s="776"/>
      <c r="X35" s="776"/>
      <c r="Y35" s="776"/>
      <c r="Z35" s="776"/>
      <c r="AA35" s="776"/>
      <c r="AB35" s="776"/>
      <c r="AC35" s="776"/>
      <c r="AD35" s="776"/>
      <c r="AE35" s="776"/>
      <c r="AF35" s="776"/>
      <c r="AG35" s="776"/>
      <c r="AH35" s="776"/>
      <c r="AI35" s="776"/>
    </row>
    <row r="36" spans="2:35" ht="12" customHeight="1">
      <c r="B36" s="897"/>
      <c r="C36" s="897"/>
      <c r="D36" s="897"/>
      <c r="E36" s="873"/>
      <c r="F36" s="873"/>
      <c r="G36" s="873"/>
      <c r="I36" s="776"/>
      <c r="J36" s="776"/>
      <c r="K36" s="776"/>
      <c r="L36" s="776"/>
      <c r="M36" s="776"/>
      <c r="N36" s="776"/>
      <c r="O36" s="776"/>
      <c r="P36" s="776"/>
      <c r="Q36" s="776"/>
      <c r="R36" s="776"/>
      <c r="S36" s="776"/>
      <c r="T36" s="776"/>
      <c r="U36" s="776"/>
      <c r="V36" s="776"/>
      <c r="W36" s="776"/>
      <c r="X36" s="776"/>
      <c r="Y36" s="776"/>
      <c r="Z36" s="776"/>
      <c r="AA36" s="776"/>
      <c r="AB36" s="776"/>
      <c r="AC36" s="776"/>
      <c r="AD36" s="776"/>
      <c r="AE36" s="776"/>
      <c r="AF36" s="776"/>
      <c r="AG36" s="776"/>
      <c r="AH36" s="776"/>
      <c r="AI36" s="776"/>
    </row>
    <row r="37" spans="2:35" ht="12" customHeight="1">
      <c r="B37" s="897"/>
      <c r="C37" s="897"/>
      <c r="D37" s="897"/>
      <c r="E37" s="873"/>
      <c r="F37" s="873"/>
      <c r="G37" s="873"/>
      <c r="I37" s="776"/>
      <c r="J37" s="776"/>
      <c r="K37" s="776"/>
      <c r="L37" s="776"/>
      <c r="M37" s="776"/>
      <c r="N37" s="776"/>
      <c r="O37" s="776"/>
      <c r="P37" s="776"/>
      <c r="Q37" s="776"/>
      <c r="R37" s="776"/>
      <c r="S37" s="776"/>
      <c r="T37" s="776"/>
      <c r="U37" s="776"/>
      <c r="V37" s="776"/>
      <c r="W37" s="776"/>
      <c r="X37" s="776"/>
      <c r="Y37" s="776"/>
      <c r="Z37" s="776"/>
      <c r="AA37" s="776"/>
      <c r="AB37" s="776"/>
      <c r="AC37" s="776"/>
      <c r="AD37" s="776"/>
      <c r="AE37" s="776"/>
      <c r="AF37" s="776"/>
      <c r="AG37" s="776"/>
      <c r="AH37" s="776"/>
      <c r="AI37" s="776"/>
    </row>
    <row r="38" spans="2:35" ht="12" customHeight="1">
      <c r="B38" s="897"/>
      <c r="C38" s="897"/>
      <c r="D38" s="897"/>
      <c r="E38" s="897"/>
      <c r="F38" s="897"/>
      <c r="G38" s="897"/>
      <c r="I38" s="776"/>
      <c r="J38" s="776"/>
      <c r="K38" s="776"/>
      <c r="L38" s="776"/>
      <c r="M38" s="776"/>
      <c r="N38" s="776"/>
      <c r="O38" s="776"/>
      <c r="P38" s="776"/>
      <c r="Q38" s="776"/>
      <c r="R38" s="776"/>
      <c r="S38" s="776"/>
      <c r="T38" s="776"/>
      <c r="U38" s="776"/>
      <c r="V38" s="776"/>
      <c r="W38" s="776"/>
      <c r="X38" s="776"/>
      <c r="Y38" s="776"/>
      <c r="Z38" s="776"/>
      <c r="AA38" s="776"/>
      <c r="AB38" s="776"/>
      <c r="AC38" s="776"/>
      <c r="AD38" s="776"/>
      <c r="AE38" s="776"/>
      <c r="AF38" s="776"/>
      <c r="AG38" s="776"/>
      <c r="AH38" s="776"/>
      <c r="AI38" s="776"/>
    </row>
    <row r="39" spans="2:35" ht="12" customHeight="1">
      <c r="I39" s="776"/>
      <c r="J39" s="776"/>
      <c r="K39" s="776"/>
      <c r="L39" s="776"/>
      <c r="M39" s="776"/>
      <c r="N39" s="776"/>
      <c r="O39" s="776"/>
      <c r="P39" s="776"/>
      <c r="Q39" s="776"/>
      <c r="R39" s="776"/>
      <c r="S39" s="776"/>
      <c r="T39" s="776"/>
      <c r="U39" s="776"/>
      <c r="V39" s="776"/>
      <c r="W39" s="776"/>
      <c r="X39" s="776"/>
      <c r="Y39" s="776"/>
      <c r="Z39" s="776"/>
      <c r="AA39" s="776"/>
      <c r="AB39" s="776"/>
      <c r="AC39" s="776"/>
      <c r="AD39" s="776"/>
      <c r="AE39" s="776"/>
      <c r="AF39" s="776"/>
      <c r="AG39" s="776"/>
      <c r="AH39" s="776"/>
      <c r="AI39" s="776"/>
    </row>
    <row r="40" spans="2:35" ht="12" customHeight="1">
      <c r="I40" s="776"/>
      <c r="J40" s="776"/>
      <c r="K40" s="776"/>
      <c r="L40" s="776"/>
      <c r="M40" s="776"/>
      <c r="N40" s="776"/>
      <c r="O40" s="776"/>
      <c r="P40" s="776"/>
      <c r="Q40" s="776"/>
      <c r="R40" s="776"/>
      <c r="S40" s="776"/>
      <c r="T40" s="776"/>
      <c r="U40" s="776"/>
      <c r="V40" s="776"/>
      <c r="W40" s="776"/>
      <c r="X40" s="776"/>
      <c r="Y40" s="776"/>
      <c r="Z40" s="776"/>
      <c r="AA40" s="776"/>
      <c r="AB40" s="776"/>
      <c r="AC40" s="776"/>
      <c r="AD40" s="776"/>
      <c r="AE40" s="776"/>
      <c r="AF40" s="776"/>
      <c r="AG40" s="776"/>
      <c r="AH40" s="776"/>
      <c r="AI40" s="776"/>
    </row>
    <row r="41" spans="2:35" ht="12" customHeight="1">
      <c r="I41" s="776"/>
      <c r="J41" s="776"/>
      <c r="K41" s="776"/>
      <c r="L41" s="776"/>
      <c r="M41" s="776"/>
      <c r="N41" s="776"/>
      <c r="O41" s="776"/>
      <c r="P41" s="776"/>
      <c r="Q41" s="776"/>
      <c r="R41" s="776"/>
      <c r="S41" s="776"/>
      <c r="T41" s="776"/>
      <c r="U41" s="776"/>
      <c r="V41" s="776"/>
      <c r="W41" s="776"/>
      <c r="X41" s="776"/>
      <c r="Y41" s="776"/>
      <c r="Z41" s="776"/>
      <c r="AA41" s="776"/>
      <c r="AB41" s="776"/>
      <c r="AC41" s="776"/>
      <c r="AD41" s="776"/>
      <c r="AE41" s="776"/>
      <c r="AF41" s="776"/>
      <c r="AG41" s="776"/>
      <c r="AH41" s="776"/>
      <c r="AI41" s="776"/>
    </row>
    <row r="42" spans="2:35" ht="12" customHeight="1">
      <c r="I42" s="776"/>
      <c r="J42" s="776"/>
      <c r="K42" s="776"/>
      <c r="L42" s="776"/>
      <c r="M42" s="776"/>
      <c r="N42" s="776"/>
      <c r="O42" s="776"/>
      <c r="P42" s="776"/>
      <c r="Q42" s="776"/>
      <c r="R42" s="776"/>
      <c r="S42" s="776"/>
      <c r="T42" s="776"/>
      <c r="U42" s="776"/>
      <c r="V42" s="776"/>
      <c r="W42" s="776"/>
      <c r="X42" s="776"/>
      <c r="Y42" s="776"/>
      <c r="Z42" s="776"/>
      <c r="AA42" s="776"/>
      <c r="AB42" s="776"/>
      <c r="AC42" s="776"/>
      <c r="AD42" s="776"/>
      <c r="AE42" s="776"/>
      <c r="AF42" s="776"/>
      <c r="AG42" s="776"/>
      <c r="AH42" s="776"/>
      <c r="AI42" s="776"/>
    </row>
    <row r="43" spans="2:35" ht="12" customHeight="1">
      <c r="I43" s="776"/>
      <c r="J43" s="776"/>
      <c r="K43" s="776"/>
      <c r="L43" s="776"/>
      <c r="M43" s="776"/>
      <c r="N43" s="776"/>
      <c r="O43" s="776"/>
      <c r="P43" s="776"/>
      <c r="Q43" s="776"/>
      <c r="R43" s="776"/>
      <c r="S43" s="776"/>
      <c r="T43" s="776"/>
      <c r="U43" s="776"/>
      <c r="V43" s="776"/>
      <c r="W43" s="776"/>
      <c r="X43" s="776"/>
      <c r="Y43" s="776"/>
      <c r="Z43" s="776"/>
      <c r="AA43" s="776"/>
      <c r="AB43" s="776"/>
      <c r="AC43" s="776"/>
      <c r="AD43" s="776"/>
      <c r="AE43" s="776"/>
      <c r="AF43" s="776"/>
      <c r="AG43" s="776"/>
      <c r="AH43" s="776"/>
      <c r="AI43" s="776"/>
    </row>
    <row r="44" spans="2:35" ht="12" customHeight="1">
      <c r="I44" s="776"/>
      <c r="J44" s="776"/>
      <c r="K44" s="776"/>
      <c r="L44" s="776"/>
      <c r="M44" s="776"/>
      <c r="N44" s="776"/>
      <c r="O44" s="776"/>
      <c r="P44" s="776"/>
      <c r="Q44" s="776"/>
      <c r="R44" s="776"/>
      <c r="S44" s="776"/>
      <c r="T44" s="776"/>
      <c r="U44" s="776"/>
      <c r="V44" s="776"/>
      <c r="W44" s="776"/>
      <c r="X44" s="776"/>
      <c r="Y44" s="776"/>
      <c r="Z44" s="776"/>
      <c r="AA44" s="776"/>
      <c r="AB44" s="776"/>
      <c r="AC44" s="776"/>
      <c r="AD44" s="776"/>
      <c r="AE44" s="776"/>
      <c r="AF44" s="776"/>
      <c r="AG44" s="776"/>
      <c r="AH44" s="776"/>
      <c r="AI44" s="776"/>
    </row>
    <row r="45" spans="2:35" ht="12" customHeight="1">
      <c r="I45" s="776"/>
      <c r="J45" s="776"/>
      <c r="K45" s="776"/>
      <c r="L45" s="776"/>
      <c r="M45" s="776"/>
      <c r="N45" s="776"/>
      <c r="O45" s="776"/>
      <c r="P45" s="776"/>
      <c r="Q45" s="776"/>
      <c r="R45" s="776"/>
      <c r="S45" s="776"/>
      <c r="T45" s="776"/>
      <c r="U45" s="776"/>
      <c r="V45" s="776"/>
      <c r="W45" s="776"/>
      <c r="X45" s="776"/>
      <c r="Y45" s="776"/>
      <c r="Z45" s="776"/>
      <c r="AA45" s="776"/>
      <c r="AB45" s="776"/>
      <c r="AC45" s="776"/>
      <c r="AD45" s="776"/>
      <c r="AE45" s="776"/>
      <c r="AF45" s="776"/>
      <c r="AG45" s="776"/>
      <c r="AH45" s="776"/>
      <c r="AI45" s="776"/>
    </row>
    <row r="46" spans="2:35" ht="12" customHeight="1">
      <c r="I46" s="776"/>
      <c r="J46" s="776"/>
      <c r="K46" s="776"/>
      <c r="L46" s="776"/>
      <c r="M46" s="776"/>
      <c r="N46" s="776"/>
      <c r="O46" s="776"/>
      <c r="P46" s="776"/>
      <c r="Q46" s="776"/>
      <c r="R46" s="776"/>
      <c r="S46" s="776"/>
      <c r="T46" s="776"/>
      <c r="U46" s="776"/>
      <c r="V46" s="776"/>
      <c r="W46" s="776"/>
      <c r="X46" s="776"/>
      <c r="Y46" s="776"/>
      <c r="Z46" s="776"/>
      <c r="AA46" s="776"/>
      <c r="AB46" s="776"/>
      <c r="AC46" s="776"/>
      <c r="AD46" s="776"/>
      <c r="AE46" s="776"/>
      <c r="AF46" s="776"/>
      <c r="AG46" s="776"/>
      <c r="AH46" s="776"/>
      <c r="AI46" s="776"/>
    </row>
    <row r="47" spans="2:35" ht="12" customHeight="1">
      <c r="I47" s="776"/>
      <c r="J47" s="776"/>
      <c r="K47" s="776"/>
      <c r="L47" s="776"/>
      <c r="M47" s="776"/>
      <c r="N47" s="776"/>
      <c r="O47" s="776"/>
      <c r="P47" s="776"/>
      <c r="Q47" s="776"/>
      <c r="R47" s="776"/>
      <c r="S47" s="776"/>
      <c r="T47" s="776"/>
      <c r="U47" s="776"/>
      <c r="V47" s="776"/>
      <c r="W47" s="776"/>
      <c r="X47" s="776"/>
      <c r="Y47" s="776"/>
      <c r="Z47" s="776"/>
      <c r="AA47" s="776"/>
      <c r="AB47" s="776"/>
      <c r="AC47" s="776"/>
      <c r="AD47" s="776"/>
      <c r="AE47" s="776"/>
      <c r="AF47" s="776"/>
      <c r="AG47" s="776"/>
      <c r="AH47" s="776"/>
      <c r="AI47" s="776"/>
    </row>
    <row r="48" spans="2:35" ht="12" customHeight="1">
      <c r="I48" s="776"/>
      <c r="J48" s="776"/>
      <c r="K48" s="776"/>
      <c r="L48" s="776"/>
      <c r="M48" s="776"/>
      <c r="N48" s="776"/>
      <c r="O48" s="776"/>
      <c r="P48" s="776"/>
      <c r="Q48" s="776"/>
      <c r="R48" s="776"/>
      <c r="S48" s="776"/>
      <c r="T48" s="776"/>
      <c r="U48" s="776"/>
      <c r="V48" s="776"/>
      <c r="W48" s="776"/>
      <c r="X48" s="776"/>
      <c r="Y48" s="776"/>
      <c r="Z48" s="776"/>
      <c r="AA48" s="776"/>
      <c r="AB48" s="776"/>
      <c r="AC48" s="776"/>
      <c r="AD48" s="776"/>
      <c r="AE48" s="776"/>
      <c r="AF48" s="776"/>
      <c r="AG48" s="776"/>
      <c r="AH48" s="776"/>
      <c r="AI48" s="776"/>
    </row>
    <row r="49" spans="2:35" ht="12" customHeight="1">
      <c r="I49" s="776"/>
      <c r="J49" s="776"/>
      <c r="K49" s="776"/>
      <c r="L49" s="776"/>
      <c r="M49" s="776"/>
      <c r="N49" s="776"/>
      <c r="O49" s="776"/>
      <c r="P49" s="776"/>
      <c r="Q49" s="776"/>
      <c r="R49" s="776"/>
      <c r="S49" s="776"/>
      <c r="T49" s="776"/>
      <c r="U49" s="776"/>
      <c r="V49" s="776"/>
      <c r="W49" s="776"/>
      <c r="X49" s="776"/>
      <c r="Y49" s="776"/>
      <c r="Z49" s="776"/>
      <c r="AA49" s="776"/>
      <c r="AB49" s="776"/>
      <c r="AC49" s="776"/>
      <c r="AD49" s="776"/>
      <c r="AE49" s="776"/>
      <c r="AF49" s="776"/>
      <c r="AG49" s="776"/>
      <c r="AH49" s="776"/>
      <c r="AI49" s="776"/>
    </row>
    <row r="50" spans="2:35" ht="12" customHeight="1">
      <c r="B50" s="897"/>
      <c r="C50" s="897"/>
      <c r="D50" s="897"/>
      <c r="E50" s="873"/>
      <c r="F50" s="873"/>
      <c r="G50" s="873"/>
      <c r="I50" s="776"/>
      <c r="J50" s="776"/>
      <c r="K50" s="776"/>
      <c r="L50" s="776"/>
      <c r="M50" s="776"/>
      <c r="N50" s="776"/>
      <c r="O50" s="776"/>
      <c r="P50" s="776"/>
      <c r="Q50" s="776"/>
      <c r="R50" s="776"/>
      <c r="S50" s="776"/>
      <c r="T50" s="776"/>
      <c r="U50" s="776"/>
      <c r="V50" s="776"/>
      <c r="W50" s="776"/>
      <c r="X50" s="776"/>
      <c r="Y50" s="776"/>
      <c r="Z50" s="776"/>
      <c r="AA50" s="776"/>
      <c r="AB50" s="776"/>
      <c r="AC50" s="776"/>
      <c r="AD50" s="776"/>
      <c r="AE50" s="776"/>
      <c r="AF50" s="776"/>
      <c r="AG50" s="776"/>
      <c r="AH50" s="776"/>
      <c r="AI50" s="776"/>
    </row>
    <row r="51" spans="2:35" ht="12" customHeight="1">
      <c r="B51" s="897"/>
      <c r="C51" s="897"/>
      <c r="D51" s="897"/>
      <c r="E51" s="873"/>
      <c r="F51" s="873"/>
      <c r="G51" s="873"/>
      <c r="I51" s="776"/>
      <c r="J51" s="776"/>
      <c r="K51" s="776"/>
      <c r="L51" s="776"/>
      <c r="M51" s="776"/>
      <c r="N51" s="776"/>
      <c r="O51" s="776"/>
      <c r="P51" s="776"/>
      <c r="Q51" s="776"/>
      <c r="R51" s="776"/>
      <c r="S51" s="776"/>
      <c r="T51" s="776"/>
      <c r="U51" s="776"/>
      <c r="V51" s="776"/>
      <c r="W51" s="776"/>
      <c r="X51" s="776"/>
      <c r="Y51" s="776"/>
      <c r="Z51" s="776"/>
      <c r="AA51" s="776"/>
      <c r="AB51" s="776"/>
      <c r="AC51" s="776"/>
      <c r="AD51" s="776"/>
      <c r="AE51" s="776"/>
      <c r="AF51" s="776"/>
      <c r="AG51" s="776"/>
      <c r="AH51" s="776"/>
      <c r="AI51" s="776"/>
    </row>
    <row r="52" spans="2:35" ht="12" customHeight="1">
      <c r="B52" s="897"/>
      <c r="C52" s="897"/>
      <c r="D52" s="897"/>
      <c r="E52" s="873"/>
      <c r="F52" s="873"/>
      <c r="G52" s="873"/>
      <c r="I52" s="776"/>
      <c r="J52" s="776"/>
      <c r="K52" s="776"/>
      <c r="L52" s="776"/>
      <c r="M52" s="776"/>
      <c r="N52" s="776"/>
      <c r="O52" s="776"/>
      <c r="P52" s="776"/>
      <c r="Q52" s="776"/>
      <c r="R52" s="776"/>
      <c r="S52" s="776"/>
      <c r="T52" s="776"/>
      <c r="U52" s="776"/>
      <c r="V52" s="776"/>
      <c r="W52" s="776"/>
      <c r="X52" s="776"/>
      <c r="Y52" s="776"/>
      <c r="Z52" s="776"/>
      <c r="AA52" s="776"/>
      <c r="AB52" s="776"/>
      <c r="AC52" s="776"/>
      <c r="AD52" s="776"/>
      <c r="AE52" s="776"/>
      <c r="AF52" s="776"/>
      <c r="AG52" s="776"/>
      <c r="AH52" s="776"/>
      <c r="AI52" s="776"/>
    </row>
    <row r="53" spans="2:35" ht="12" customHeight="1">
      <c r="B53" s="897"/>
      <c r="C53" s="897"/>
      <c r="D53" s="897"/>
      <c r="E53" s="897"/>
      <c r="F53" s="897"/>
      <c r="G53" s="897"/>
      <c r="I53" s="776"/>
      <c r="J53" s="776"/>
      <c r="K53" s="776"/>
      <c r="L53" s="776"/>
      <c r="M53" s="776"/>
      <c r="N53" s="776"/>
      <c r="O53" s="776"/>
      <c r="P53" s="776"/>
      <c r="Q53" s="776"/>
      <c r="R53" s="776"/>
      <c r="S53" s="776"/>
      <c r="T53" s="776"/>
      <c r="U53" s="776"/>
      <c r="V53" s="776"/>
      <c r="W53" s="776"/>
      <c r="X53" s="776"/>
      <c r="Y53" s="776"/>
      <c r="Z53" s="776"/>
      <c r="AA53" s="776"/>
      <c r="AB53" s="776"/>
      <c r="AC53" s="776"/>
      <c r="AD53" s="776"/>
      <c r="AE53" s="776"/>
      <c r="AF53" s="776"/>
      <c r="AG53" s="776"/>
      <c r="AH53" s="776"/>
      <c r="AI53" s="776"/>
    </row>
    <row r="54" spans="2:35" ht="12" customHeight="1">
      <c r="I54" s="776"/>
      <c r="J54" s="776"/>
      <c r="K54" s="776"/>
      <c r="L54" s="776"/>
      <c r="M54" s="776"/>
      <c r="N54" s="776"/>
      <c r="O54" s="776"/>
      <c r="P54" s="776"/>
      <c r="Q54" s="776"/>
      <c r="R54" s="776"/>
      <c r="S54" s="776"/>
      <c r="T54" s="776"/>
      <c r="U54" s="776"/>
      <c r="V54" s="776"/>
      <c r="W54" s="776"/>
      <c r="X54" s="776"/>
      <c r="Y54" s="776"/>
      <c r="Z54" s="776"/>
      <c r="AA54" s="776"/>
      <c r="AB54" s="776"/>
      <c r="AC54" s="776"/>
      <c r="AD54" s="776"/>
      <c r="AE54" s="776"/>
      <c r="AF54" s="776"/>
      <c r="AG54" s="776"/>
      <c r="AH54" s="776"/>
      <c r="AI54" s="776"/>
    </row>
    <row r="55" spans="2:35" ht="12" customHeight="1">
      <c r="I55" s="776"/>
      <c r="J55" s="776"/>
      <c r="K55" s="776"/>
      <c r="L55" s="776"/>
      <c r="M55" s="776"/>
      <c r="N55" s="776"/>
      <c r="O55" s="776"/>
      <c r="P55" s="776"/>
      <c r="Q55" s="776"/>
      <c r="R55" s="776"/>
      <c r="S55" s="776"/>
      <c r="T55" s="776"/>
      <c r="U55" s="776"/>
      <c r="V55" s="776"/>
      <c r="W55" s="776"/>
      <c r="X55" s="776"/>
      <c r="Y55" s="776"/>
      <c r="Z55" s="776"/>
      <c r="AA55" s="776"/>
      <c r="AB55" s="776"/>
      <c r="AC55" s="776"/>
      <c r="AD55" s="776"/>
      <c r="AE55" s="776"/>
      <c r="AF55" s="776"/>
      <c r="AG55" s="776"/>
      <c r="AH55" s="776"/>
      <c r="AI55" s="776"/>
    </row>
    <row r="56" spans="2:35" ht="12" customHeight="1">
      <c r="I56" s="776"/>
      <c r="J56" s="776"/>
      <c r="K56" s="776"/>
      <c r="L56" s="776"/>
      <c r="M56" s="776"/>
      <c r="N56" s="776"/>
      <c r="O56" s="776"/>
      <c r="P56" s="776"/>
      <c r="Q56" s="776"/>
      <c r="R56" s="776"/>
      <c r="S56" s="776"/>
      <c r="T56" s="776"/>
      <c r="U56" s="776"/>
      <c r="V56" s="776"/>
      <c r="W56" s="776"/>
      <c r="X56" s="776"/>
      <c r="Y56" s="776"/>
      <c r="Z56" s="776"/>
      <c r="AA56" s="776"/>
      <c r="AB56" s="776"/>
      <c r="AC56" s="776"/>
      <c r="AD56" s="776"/>
      <c r="AE56" s="776"/>
      <c r="AF56" s="776"/>
      <c r="AG56" s="776"/>
      <c r="AH56" s="776"/>
      <c r="AI56" s="776"/>
    </row>
    <row r="57" spans="2:35" ht="12" customHeight="1">
      <c r="I57" s="776"/>
      <c r="J57" s="776"/>
      <c r="K57" s="776"/>
      <c r="L57" s="776"/>
      <c r="M57" s="776"/>
      <c r="N57" s="776"/>
      <c r="O57" s="776"/>
      <c r="P57" s="776"/>
      <c r="Q57" s="776"/>
      <c r="R57" s="776"/>
      <c r="S57" s="776"/>
      <c r="T57" s="776"/>
      <c r="U57" s="776"/>
      <c r="V57" s="776"/>
      <c r="W57" s="776"/>
      <c r="X57" s="776"/>
      <c r="Y57" s="776"/>
      <c r="Z57" s="776"/>
      <c r="AA57" s="776"/>
      <c r="AB57" s="776"/>
      <c r="AC57" s="776"/>
      <c r="AD57" s="776"/>
      <c r="AE57" s="776"/>
      <c r="AF57" s="776"/>
      <c r="AG57" s="776"/>
      <c r="AH57" s="776"/>
      <c r="AI57" s="776"/>
    </row>
    <row r="58" spans="2:35" ht="12" customHeight="1">
      <c r="I58" s="776"/>
      <c r="J58" s="776"/>
      <c r="K58" s="776"/>
      <c r="L58" s="776"/>
      <c r="M58" s="776"/>
      <c r="N58" s="776"/>
      <c r="O58" s="776"/>
      <c r="P58" s="776"/>
      <c r="Q58" s="776"/>
      <c r="R58" s="776"/>
      <c r="S58" s="776"/>
      <c r="T58" s="776"/>
      <c r="U58" s="776"/>
      <c r="V58" s="776"/>
      <c r="W58" s="776"/>
      <c r="X58" s="776"/>
      <c r="Y58" s="776"/>
      <c r="Z58" s="776"/>
      <c r="AA58" s="776"/>
      <c r="AB58" s="776"/>
      <c r="AC58" s="776"/>
      <c r="AD58" s="776"/>
      <c r="AE58" s="776"/>
      <c r="AF58" s="776"/>
      <c r="AG58" s="776"/>
      <c r="AH58" s="776"/>
      <c r="AI58" s="776"/>
    </row>
    <row r="59" spans="2:35" ht="12" customHeight="1">
      <c r="I59" s="776"/>
      <c r="J59" s="776"/>
      <c r="K59" s="776"/>
      <c r="L59" s="776"/>
      <c r="M59" s="776"/>
      <c r="N59" s="776"/>
      <c r="O59" s="776"/>
      <c r="P59" s="776"/>
      <c r="Q59" s="776"/>
      <c r="R59" s="776"/>
      <c r="S59" s="776"/>
      <c r="T59" s="776"/>
      <c r="U59" s="776"/>
      <c r="V59" s="776"/>
      <c r="W59" s="776"/>
      <c r="X59" s="776"/>
      <c r="Y59" s="776"/>
      <c r="Z59" s="776"/>
      <c r="AA59" s="776"/>
      <c r="AB59" s="776"/>
      <c r="AC59" s="776"/>
      <c r="AD59" s="776"/>
      <c r="AE59" s="776"/>
      <c r="AF59" s="776"/>
      <c r="AG59" s="776"/>
      <c r="AH59" s="776"/>
      <c r="AI59" s="776"/>
    </row>
    <row r="60" spans="2:35" ht="12" customHeight="1">
      <c r="I60" s="776"/>
      <c r="J60" s="776"/>
      <c r="K60" s="776"/>
      <c r="L60" s="776"/>
      <c r="M60" s="776"/>
      <c r="N60" s="776"/>
      <c r="O60" s="776"/>
      <c r="P60" s="776"/>
      <c r="Q60" s="776"/>
      <c r="R60" s="776"/>
      <c r="S60" s="776"/>
      <c r="T60" s="776"/>
      <c r="U60" s="776"/>
      <c r="V60" s="776"/>
      <c r="W60" s="776"/>
      <c r="X60" s="776"/>
      <c r="Y60" s="776"/>
      <c r="Z60" s="776"/>
      <c r="AA60" s="776"/>
      <c r="AB60" s="776"/>
      <c r="AC60" s="776"/>
      <c r="AD60" s="776"/>
      <c r="AE60" s="776"/>
      <c r="AF60" s="776"/>
      <c r="AG60" s="776"/>
      <c r="AH60" s="776"/>
      <c r="AI60" s="776"/>
    </row>
    <row r="61" spans="2:35" ht="12" customHeight="1">
      <c r="I61" s="776"/>
      <c r="J61" s="776"/>
      <c r="K61" s="776"/>
      <c r="L61" s="776"/>
      <c r="M61" s="776"/>
      <c r="N61" s="776"/>
      <c r="O61" s="776"/>
      <c r="P61" s="776"/>
      <c r="Q61" s="776"/>
      <c r="R61" s="776"/>
      <c r="S61" s="776"/>
      <c r="T61" s="776"/>
      <c r="U61" s="776"/>
      <c r="V61" s="776"/>
      <c r="W61" s="776"/>
      <c r="X61" s="776"/>
      <c r="Y61" s="776"/>
      <c r="Z61" s="776"/>
      <c r="AA61" s="776"/>
      <c r="AB61" s="776"/>
      <c r="AC61" s="776"/>
      <c r="AD61" s="776"/>
      <c r="AE61" s="776"/>
      <c r="AF61" s="776"/>
      <c r="AG61" s="776"/>
      <c r="AH61" s="776"/>
      <c r="AI61" s="776"/>
    </row>
    <row r="62" spans="2:35" ht="12" customHeight="1">
      <c r="I62" s="776"/>
      <c r="J62" s="776"/>
      <c r="K62" s="776"/>
      <c r="L62" s="776"/>
      <c r="M62" s="776"/>
      <c r="N62" s="776"/>
      <c r="O62" s="776"/>
      <c r="P62" s="776"/>
      <c r="Q62" s="776"/>
      <c r="R62" s="776"/>
      <c r="S62" s="776"/>
      <c r="T62" s="776"/>
      <c r="U62" s="776"/>
      <c r="V62" s="776"/>
      <c r="W62" s="776"/>
      <c r="X62" s="776"/>
      <c r="Y62" s="776"/>
      <c r="Z62" s="776"/>
      <c r="AA62" s="776"/>
      <c r="AB62" s="776"/>
      <c r="AC62" s="776"/>
      <c r="AD62" s="776"/>
      <c r="AE62" s="776"/>
      <c r="AF62" s="776"/>
      <c r="AG62" s="776"/>
      <c r="AH62" s="776"/>
      <c r="AI62" s="776"/>
    </row>
    <row r="63" spans="2:35" ht="12" customHeight="1"/>
    <row r="64" spans="2:35" ht="12" customHeight="1"/>
    <row r="65" ht="12" customHeight="1"/>
    <row r="66" ht="12" customHeight="1"/>
  </sheetData>
  <phoneticPr fontId="57" type="noConversion"/>
  <pageMargins left="0.98425196850393704" right="0.78740157480314965" top="0.78740157480314965" bottom="0.78740157480314965" header="0.51181102362204722" footer="0.51181102362204722"/>
  <pageSetup paperSize="5" scale="95" orientation="portrait" horizontalDpi="300" verticalDpi="300" r:id="rId1"/>
  <headerFooter alignWithMargins="0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3"/>
  <sheetViews>
    <sheetView topLeftCell="A9" workbookViewId="0">
      <selection activeCell="E17" sqref="E17"/>
    </sheetView>
  </sheetViews>
  <sheetFormatPr baseColWidth="10" defaultColWidth="14.85546875" defaultRowHeight="12.75"/>
  <cols>
    <col min="1" max="1" width="14.28515625" style="866" customWidth="1"/>
    <col min="2" max="4" width="9.28515625" style="866" customWidth="1"/>
    <col min="5" max="5" width="14.85546875" style="866" customWidth="1"/>
    <col min="6" max="6" width="13.7109375" style="866" customWidth="1"/>
    <col min="7" max="7" width="12.42578125" style="866" customWidth="1"/>
    <col min="8" max="8" width="12.140625" style="866" customWidth="1"/>
    <col min="9" max="16384" width="14.85546875" style="866"/>
  </cols>
  <sheetData>
    <row r="1" spans="1:9">
      <c r="A1" s="863" t="s">
        <v>202</v>
      </c>
      <c r="B1" s="864"/>
      <c r="C1" s="864"/>
      <c r="D1" s="864"/>
      <c r="E1" s="864"/>
      <c r="F1" s="865"/>
      <c r="G1" s="865"/>
      <c r="H1" s="865"/>
      <c r="I1" s="898"/>
    </row>
    <row r="2" spans="1:9">
      <c r="A2" s="863"/>
      <c r="B2" s="864"/>
      <c r="C2" s="864"/>
      <c r="D2" s="864"/>
      <c r="E2" s="864"/>
      <c r="F2" s="865"/>
      <c r="G2" s="865"/>
      <c r="H2" s="865"/>
      <c r="I2" s="898"/>
    </row>
    <row r="3" spans="1:9">
      <c r="A3" s="863" t="s">
        <v>212</v>
      </c>
      <c r="B3" s="864"/>
      <c r="C3" s="864"/>
      <c r="D3" s="864"/>
      <c r="E3" s="864"/>
      <c r="F3" s="865"/>
      <c r="G3" s="865"/>
      <c r="H3" s="865"/>
      <c r="I3" s="898"/>
    </row>
    <row r="4" spans="1:9">
      <c r="A4" s="863" t="str">
        <f>+'91'!A4</f>
        <v>2005  -  2014</v>
      </c>
      <c r="B4" s="864"/>
      <c r="C4" s="864"/>
      <c r="D4" s="864"/>
      <c r="E4" s="864"/>
      <c r="F4" s="865"/>
      <c r="G4" s="865"/>
      <c r="H4" s="865"/>
      <c r="I4" s="898"/>
    </row>
    <row r="5" spans="1:9">
      <c r="B5" s="867"/>
      <c r="C5" s="867"/>
      <c r="D5" s="867"/>
      <c r="E5" s="867"/>
      <c r="F5" s="867"/>
      <c r="G5" s="867"/>
      <c r="H5" s="867"/>
    </row>
    <row r="7" spans="1:9" ht="17.25" customHeight="1">
      <c r="B7" s="868"/>
      <c r="C7" s="869" t="s">
        <v>204</v>
      </c>
      <c r="D7" s="869" t="s">
        <v>205</v>
      </c>
      <c r="E7" s="870" t="s">
        <v>736</v>
      </c>
      <c r="F7" s="871" t="s">
        <v>206</v>
      </c>
      <c r="G7" s="872" t="s">
        <v>207</v>
      </c>
      <c r="H7" s="873"/>
      <c r="I7" s="899"/>
    </row>
    <row r="8" spans="1:9" ht="17.25" customHeight="1">
      <c r="B8" s="900" t="s">
        <v>709</v>
      </c>
      <c r="C8" s="875" t="s">
        <v>208</v>
      </c>
      <c r="D8" s="875" t="s">
        <v>208</v>
      </c>
      <c r="E8" s="876" t="s">
        <v>209</v>
      </c>
      <c r="F8" s="877" t="s">
        <v>210</v>
      </c>
      <c r="G8" s="878" t="s">
        <v>211</v>
      </c>
      <c r="H8" s="873"/>
      <c r="I8" s="899"/>
    </row>
    <row r="9" spans="1:9" ht="17.25" customHeight="1">
      <c r="B9" s="879">
        <v>2005</v>
      </c>
      <c r="C9" s="901">
        <v>232</v>
      </c>
      <c r="D9" s="902">
        <v>222</v>
      </c>
      <c r="E9" s="903">
        <v>11015</v>
      </c>
      <c r="F9" s="882">
        <v>69.3</v>
      </c>
      <c r="G9" s="883">
        <v>5.18</v>
      </c>
      <c r="H9" s="873"/>
      <c r="I9" s="899"/>
    </row>
    <row r="10" spans="1:9" ht="17.25" customHeight="1">
      <c r="B10" s="879">
        <v>2006</v>
      </c>
      <c r="C10" s="879">
        <v>232</v>
      </c>
      <c r="D10" s="884">
        <v>221</v>
      </c>
      <c r="E10" s="903">
        <v>11036</v>
      </c>
      <c r="F10" s="882">
        <v>70.7</v>
      </c>
      <c r="G10" s="904">
        <v>5.25</v>
      </c>
      <c r="H10" s="873"/>
      <c r="I10" s="899"/>
    </row>
    <row r="11" spans="1:9" ht="17.25" customHeight="1">
      <c r="B11" s="879">
        <v>2007</v>
      </c>
      <c r="C11" s="879">
        <v>232</v>
      </c>
      <c r="D11" s="884">
        <v>224</v>
      </c>
      <c r="E11" s="903">
        <v>11154</v>
      </c>
      <c r="F11" s="882">
        <v>71.776185468685043</v>
      </c>
      <c r="G11" s="904">
        <v>5.3102922718307335</v>
      </c>
      <c r="H11" s="873"/>
      <c r="I11" s="899"/>
    </row>
    <row r="12" spans="1:9" ht="17.25" customHeight="1">
      <c r="B12" s="879">
        <v>2008</v>
      </c>
      <c r="C12" s="879">
        <v>232</v>
      </c>
      <c r="D12" s="884">
        <v>229</v>
      </c>
      <c r="E12" s="905">
        <v>11106</v>
      </c>
      <c r="F12" s="888">
        <v>71.5</v>
      </c>
      <c r="G12" s="889">
        <v>5.42</v>
      </c>
      <c r="H12" s="873"/>
      <c r="I12" s="899"/>
    </row>
    <row r="13" spans="1:9" ht="17.25" customHeight="1">
      <c r="B13" s="879">
        <v>2009</v>
      </c>
      <c r="C13" s="879">
        <v>238</v>
      </c>
      <c r="D13" s="884">
        <v>233</v>
      </c>
      <c r="E13" s="905">
        <v>10865</v>
      </c>
      <c r="F13" s="888">
        <v>73.900000000000006</v>
      </c>
      <c r="G13" s="889">
        <v>5.27</v>
      </c>
      <c r="H13" s="873"/>
      <c r="I13" s="899"/>
    </row>
    <row r="14" spans="1:9" ht="17.25" customHeight="1">
      <c r="B14" s="879">
        <v>2010</v>
      </c>
      <c r="C14" s="879">
        <v>238</v>
      </c>
      <c r="D14" s="884">
        <v>228</v>
      </c>
      <c r="E14" s="905">
        <v>10192</v>
      </c>
      <c r="F14" s="888">
        <v>66.399807379762834</v>
      </c>
      <c r="G14" s="889">
        <v>5.3011185243328098</v>
      </c>
      <c r="H14" s="873"/>
      <c r="I14" s="899"/>
    </row>
    <row r="15" spans="1:9" ht="17.25" customHeight="1">
      <c r="B15" s="879">
        <v>2011</v>
      </c>
      <c r="C15" s="879">
        <v>226</v>
      </c>
      <c r="D15" s="884">
        <v>224</v>
      </c>
      <c r="E15" s="905">
        <v>10500</v>
      </c>
      <c r="F15" s="888">
        <v>68.17643395327822</v>
      </c>
      <c r="G15" s="889">
        <v>5.3314285714285718</v>
      </c>
      <c r="H15" s="873"/>
      <c r="I15" s="899"/>
    </row>
    <row r="16" spans="1:9" ht="17.25" customHeight="1">
      <c r="B16" s="879">
        <v>2012</v>
      </c>
      <c r="C16" s="879">
        <v>226</v>
      </c>
      <c r="D16" s="884">
        <v>226</v>
      </c>
      <c r="E16" s="905">
        <v>11443</v>
      </c>
      <c r="F16" s="888">
        <v>68.993356931581246</v>
      </c>
      <c r="G16" s="889">
        <v>4.9829590142445159</v>
      </c>
      <c r="H16" s="873"/>
      <c r="I16" s="899"/>
    </row>
    <row r="17" spans="2:9" ht="17.25" customHeight="1">
      <c r="B17" s="879">
        <v>2013</v>
      </c>
      <c r="C17" s="879">
        <v>226</v>
      </c>
      <c r="D17" s="1067">
        <v>225.85479452054796</v>
      </c>
      <c r="E17" s="905">
        <v>11340</v>
      </c>
      <c r="F17" s="888">
        <v>69.163118502614111</v>
      </c>
      <c r="G17" s="889">
        <v>5.0448853615520282</v>
      </c>
      <c r="H17" s="873"/>
      <c r="I17" s="899"/>
    </row>
    <row r="18" spans="2:9" ht="15" customHeight="1">
      <c r="B18" s="890">
        <f>+'91'!B18</f>
        <v>2014</v>
      </c>
      <c r="C18" s="906">
        <v>234</v>
      </c>
      <c r="D18" s="907">
        <f>+'86'!R12/365</f>
        <v>232.51232876712328</v>
      </c>
      <c r="E18" s="908">
        <f>+'86'!O12</f>
        <v>11948</v>
      </c>
      <c r="F18" s="893">
        <f>+'86'!V12</f>
        <v>69.898782801324415</v>
      </c>
      <c r="G18" s="894">
        <f>+'86'!W12</f>
        <v>5.0907264814194848</v>
      </c>
      <c r="H18" s="873"/>
      <c r="I18" s="899"/>
    </row>
    <row r="19" spans="2:9" ht="15" customHeight="1">
      <c r="B19" s="895"/>
      <c r="C19" s="895"/>
      <c r="D19" s="895"/>
      <c r="E19" s="881"/>
      <c r="F19" s="881"/>
      <c r="G19" s="896"/>
      <c r="H19" s="873"/>
      <c r="I19" s="899"/>
    </row>
    <row r="20" spans="2:9">
      <c r="B20" s="897"/>
      <c r="C20" s="897"/>
      <c r="D20" s="897"/>
      <c r="E20" s="873"/>
      <c r="F20" s="873"/>
      <c r="G20" s="873"/>
      <c r="H20" s="873"/>
      <c r="I20" s="899"/>
    </row>
    <row r="21" spans="2:9">
      <c r="B21" s="897"/>
      <c r="C21" s="897"/>
      <c r="D21" s="897"/>
      <c r="E21" s="873"/>
      <c r="F21" s="873"/>
      <c r="G21" s="873"/>
      <c r="H21" s="873"/>
      <c r="I21" s="899"/>
    </row>
    <row r="22" spans="2:9">
      <c r="B22" s="897"/>
      <c r="C22" s="897"/>
      <c r="D22" s="897"/>
      <c r="E22" s="873"/>
      <c r="F22" s="873"/>
      <c r="G22" s="873"/>
      <c r="H22" s="873"/>
      <c r="I22" s="899"/>
    </row>
    <row r="23" spans="2:9">
      <c r="B23" s="897"/>
      <c r="C23" s="897"/>
      <c r="D23" s="897"/>
      <c r="E23" s="897"/>
      <c r="F23" s="897"/>
      <c r="G23" s="897"/>
      <c r="H23" s="897"/>
    </row>
    <row r="35" spans="2:7">
      <c r="B35" s="897"/>
      <c r="C35" s="897"/>
      <c r="D35" s="897"/>
      <c r="E35" s="873"/>
      <c r="F35" s="873"/>
      <c r="G35" s="873"/>
    </row>
    <row r="36" spans="2:7">
      <c r="B36" s="897"/>
      <c r="C36" s="897"/>
      <c r="D36" s="897"/>
      <c r="E36" s="873"/>
      <c r="F36" s="873"/>
      <c r="G36" s="873"/>
    </row>
    <row r="37" spans="2:7">
      <c r="B37" s="897"/>
      <c r="C37" s="897"/>
      <c r="D37" s="897"/>
      <c r="E37" s="873"/>
      <c r="F37" s="873"/>
      <c r="G37" s="873"/>
    </row>
    <row r="38" spans="2:7">
      <c r="B38" s="897"/>
      <c r="C38" s="897"/>
      <c r="D38" s="897"/>
      <c r="E38" s="897"/>
      <c r="F38" s="897"/>
      <c r="G38" s="897"/>
    </row>
    <row r="50" spans="2:7">
      <c r="B50" s="897"/>
      <c r="C50" s="897"/>
      <c r="D50" s="897"/>
      <c r="E50" s="873"/>
      <c r="F50" s="873"/>
      <c r="G50" s="873"/>
    </row>
    <row r="51" spans="2:7">
      <c r="B51" s="897"/>
      <c r="C51" s="897"/>
      <c r="D51" s="897"/>
      <c r="E51" s="873"/>
      <c r="F51" s="873"/>
      <c r="G51" s="873"/>
    </row>
    <row r="52" spans="2:7">
      <c r="B52" s="897"/>
      <c r="C52" s="897"/>
      <c r="D52" s="897"/>
      <c r="E52" s="873"/>
      <c r="F52" s="873"/>
      <c r="G52" s="873"/>
    </row>
    <row r="53" spans="2:7">
      <c r="B53" s="897"/>
      <c r="C53" s="897"/>
      <c r="D53" s="897"/>
      <c r="E53" s="897"/>
      <c r="F53" s="897"/>
      <c r="G53" s="897"/>
    </row>
  </sheetData>
  <phoneticPr fontId="57" type="noConversion"/>
  <pageMargins left="0.59055118110236227" right="0.59055118110236227" top="0.78740157480314965" bottom="0.78740157480314965" header="0.51181102362204722" footer="0.51181102362204722"/>
  <pageSetup paperSize="5" scale="95" orientation="portrait" horizontalDpi="300" verticalDpi="300" r:id="rId1"/>
  <headerFooter alignWithMargins="0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7"/>
  <sheetViews>
    <sheetView workbookViewId="0">
      <selection activeCell="D9" sqref="D9"/>
    </sheetView>
  </sheetViews>
  <sheetFormatPr baseColWidth="10" defaultColWidth="14.85546875" defaultRowHeight="12.75"/>
  <cols>
    <col min="1" max="1" width="11.28515625" style="911" customWidth="1"/>
    <col min="2" max="4" width="9.28515625" style="911" customWidth="1"/>
    <col min="5" max="5" width="14.85546875" style="911" customWidth="1"/>
    <col min="6" max="6" width="13.7109375" style="911" customWidth="1"/>
    <col min="7" max="7" width="12.42578125" style="911" customWidth="1"/>
    <col min="8" max="8" width="14.140625" style="911" customWidth="1"/>
    <col min="9" max="16384" width="14.85546875" style="911"/>
  </cols>
  <sheetData>
    <row r="1" spans="1:9" s="910" customFormat="1">
      <c r="A1" s="863" t="s">
        <v>202</v>
      </c>
      <c r="B1" s="864"/>
      <c r="C1" s="864"/>
      <c r="D1" s="864"/>
      <c r="E1" s="864"/>
      <c r="F1" s="864"/>
      <c r="G1" s="864"/>
      <c r="H1" s="864"/>
      <c r="I1" s="909"/>
    </row>
    <row r="2" spans="1:9" s="910" customFormat="1">
      <c r="A2" s="863"/>
      <c r="B2" s="864"/>
      <c r="C2" s="864"/>
      <c r="D2" s="864"/>
      <c r="E2" s="864"/>
      <c r="F2" s="864"/>
      <c r="G2" s="864"/>
      <c r="H2" s="864"/>
      <c r="I2" s="909"/>
    </row>
    <row r="3" spans="1:9" s="910" customFormat="1">
      <c r="A3" s="863" t="s">
        <v>213</v>
      </c>
      <c r="B3" s="864"/>
      <c r="C3" s="864"/>
      <c r="D3" s="864"/>
      <c r="E3" s="864"/>
      <c r="F3" s="864"/>
      <c r="G3" s="864"/>
      <c r="H3" s="864"/>
      <c r="I3" s="909"/>
    </row>
    <row r="4" spans="1:9" s="910" customFormat="1">
      <c r="A4" s="863" t="str">
        <f>+'92'!A4</f>
        <v>2005  -  2014</v>
      </c>
      <c r="B4" s="864"/>
      <c r="C4" s="864"/>
      <c r="D4" s="864"/>
      <c r="E4" s="864"/>
      <c r="F4" s="864"/>
      <c r="G4" s="864"/>
      <c r="H4" s="864"/>
      <c r="I4" s="909"/>
    </row>
    <row r="5" spans="1:9">
      <c r="B5" s="912"/>
      <c r="C5" s="912"/>
      <c r="D5" s="912"/>
      <c r="E5" s="912"/>
      <c r="F5" s="912"/>
      <c r="G5" s="912"/>
      <c r="H5" s="912"/>
      <c r="I5" s="913"/>
    </row>
    <row r="7" spans="1:9" ht="17.25" customHeight="1">
      <c r="B7" s="868"/>
      <c r="C7" s="869" t="s">
        <v>204</v>
      </c>
      <c r="D7" s="869" t="s">
        <v>205</v>
      </c>
      <c r="E7" s="914" t="s">
        <v>736</v>
      </c>
      <c r="F7" s="915" t="s">
        <v>206</v>
      </c>
      <c r="G7" s="916" t="s">
        <v>207</v>
      </c>
      <c r="H7" s="917"/>
    </row>
    <row r="8" spans="1:9" ht="17.25" customHeight="1">
      <c r="B8" s="900" t="s">
        <v>709</v>
      </c>
      <c r="C8" s="875" t="s">
        <v>208</v>
      </c>
      <c r="D8" s="875" t="s">
        <v>208</v>
      </c>
      <c r="E8" s="918" t="s">
        <v>209</v>
      </c>
      <c r="F8" s="919" t="s">
        <v>210</v>
      </c>
      <c r="G8" s="920" t="s">
        <v>211</v>
      </c>
      <c r="H8" s="917"/>
    </row>
    <row r="9" spans="1:9" ht="17.25" customHeight="1">
      <c r="B9" s="879">
        <v>2005</v>
      </c>
      <c r="C9" s="901">
        <v>214</v>
      </c>
      <c r="D9" s="902">
        <v>195</v>
      </c>
      <c r="E9" s="921">
        <v>9800</v>
      </c>
      <c r="F9" s="922">
        <v>64.599999999999994</v>
      </c>
      <c r="G9" s="923">
        <v>4.68</v>
      </c>
      <c r="H9" s="917"/>
    </row>
    <row r="10" spans="1:9" ht="17.25" customHeight="1">
      <c r="B10" s="879">
        <v>2006</v>
      </c>
      <c r="C10" s="879">
        <v>214</v>
      </c>
      <c r="D10" s="884">
        <v>201</v>
      </c>
      <c r="E10" s="921">
        <v>10001</v>
      </c>
      <c r="F10" s="924">
        <v>62.7</v>
      </c>
      <c r="G10" s="925">
        <v>4.63</v>
      </c>
      <c r="H10" s="917"/>
    </row>
    <row r="11" spans="1:9" ht="17.25" customHeight="1">
      <c r="B11" s="879">
        <v>2007</v>
      </c>
      <c r="C11" s="879">
        <v>214</v>
      </c>
      <c r="D11" s="884">
        <v>203</v>
      </c>
      <c r="E11" s="921">
        <v>9882</v>
      </c>
      <c r="F11" s="924">
        <v>64.468839768574085</v>
      </c>
      <c r="G11" s="925">
        <v>4.8595426027120014</v>
      </c>
      <c r="H11" s="917"/>
    </row>
    <row r="12" spans="1:9" ht="17.25" customHeight="1">
      <c r="B12" s="879">
        <v>2008</v>
      </c>
      <c r="C12" s="879">
        <v>214</v>
      </c>
      <c r="D12" s="884">
        <v>152</v>
      </c>
      <c r="E12" s="926">
        <v>8940</v>
      </c>
      <c r="F12" s="927">
        <v>67.599999999999994</v>
      </c>
      <c r="G12" s="928">
        <v>4.18</v>
      </c>
      <c r="H12" s="917"/>
    </row>
    <row r="13" spans="1:9" ht="15" customHeight="1">
      <c r="B13" s="879">
        <v>2009</v>
      </c>
      <c r="C13" s="879">
        <v>214</v>
      </c>
      <c r="D13" s="884">
        <v>122</v>
      </c>
      <c r="E13" s="926">
        <v>7635</v>
      </c>
      <c r="F13" s="927">
        <v>74.8</v>
      </c>
      <c r="G13" s="928">
        <v>4.45</v>
      </c>
      <c r="H13" s="917"/>
    </row>
    <row r="14" spans="1:9" ht="15" customHeight="1">
      <c r="B14" s="879">
        <v>2010</v>
      </c>
      <c r="C14" s="879">
        <v>214</v>
      </c>
      <c r="D14" s="884">
        <v>129</v>
      </c>
      <c r="E14" s="926">
        <v>9004</v>
      </c>
      <c r="F14" s="927">
        <v>80.626210595772761</v>
      </c>
      <c r="G14" s="928">
        <v>4.5062194580186583</v>
      </c>
      <c r="H14" s="917"/>
    </row>
    <row r="15" spans="1:9" ht="15" customHeight="1">
      <c r="B15" s="879">
        <v>2011</v>
      </c>
      <c r="C15" s="879">
        <v>163</v>
      </c>
      <c r="D15" s="884">
        <v>158</v>
      </c>
      <c r="E15" s="926">
        <v>10483</v>
      </c>
      <c r="F15" s="927">
        <v>82.908376234868513</v>
      </c>
      <c r="G15" s="928">
        <v>4.5489840694457691</v>
      </c>
      <c r="H15" s="917"/>
    </row>
    <row r="16" spans="1:9" ht="15" customHeight="1">
      <c r="B16" s="879">
        <v>2012</v>
      </c>
      <c r="C16" s="879">
        <v>163</v>
      </c>
      <c r="D16" s="884">
        <v>158</v>
      </c>
      <c r="E16" s="926">
        <v>10303</v>
      </c>
      <c r="F16" s="927">
        <v>80.20476635190758</v>
      </c>
      <c r="G16" s="928">
        <v>4.5715810928855669</v>
      </c>
      <c r="H16" s="917"/>
    </row>
    <row r="17" spans="1:8" ht="15" customHeight="1">
      <c r="B17" s="879">
        <v>2013</v>
      </c>
      <c r="C17" s="879">
        <v>163</v>
      </c>
      <c r="D17" s="1067">
        <v>156.38082191780822</v>
      </c>
      <c r="E17" s="926">
        <v>10041</v>
      </c>
      <c r="F17" s="927">
        <v>80.940450953941038</v>
      </c>
      <c r="G17" s="928">
        <v>4.6188626630813667</v>
      </c>
      <c r="H17" s="917"/>
    </row>
    <row r="18" spans="1:8" ht="15" customHeight="1">
      <c r="B18" s="890">
        <f>+'91'!B18</f>
        <v>2014</v>
      </c>
      <c r="C18" s="906">
        <v>168</v>
      </c>
      <c r="D18" s="907">
        <f>+'87'!R12/365</f>
        <v>160.48219178082192</v>
      </c>
      <c r="E18" s="929">
        <f>+'87'!O12</f>
        <v>9671</v>
      </c>
      <c r="F18" s="930">
        <f>+'87'!V12</f>
        <v>78.718246380770282</v>
      </c>
      <c r="G18" s="931">
        <f>+'87'!W12</f>
        <v>4.7527660014476272</v>
      </c>
      <c r="H18" s="917"/>
    </row>
    <row r="19" spans="1:8" ht="15" customHeight="1">
      <c r="B19" s="895"/>
      <c r="C19" s="895"/>
      <c r="D19" s="895"/>
      <c r="E19" s="881"/>
      <c r="F19" s="881"/>
      <c r="G19" s="896"/>
      <c r="H19" s="917"/>
    </row>
    <row r="20" spans="1:8">
      <c r="B20" s="897"/>
      <c r="C20" s="897"/>
      <c r="D20" s="897"/>
      <c r="E20" s="873"/>
      <c r="F20" s="873"/>
      <c r="G20" s="873"/>
      <c r="H20" s="917"/>
    </row>
    <row r="21" spans="1:8">
      <c r="B21" s="897"/>
      <c r="C21" s="897"/>
      <c r="D21" s="897"/>
      <c r="E21" s="873"/>
      <c r="F21" s="873"/>
      <c r="G21" s="873"/>
      <c r="H21" s="917"/>
    </row>
    <row r="22" spans="1:8">
      <c r="A22" s="866"/>
      <c r="B22" s="897"/>
      <c r="C22" s="897"/>
      <c r="D22" s="897"/>
      <c r="E22" s="873"/>
      <c r="F22" s="873"/>
      <c r="G22" s="873"/>
      <c r="H22" s="873"/>
    </row>
    <row r="23" spans="1:8">
      <c r="A23" s="866"/>
      <c r="B23" s="897"/>
      <c r="C23" s="897"/>
      <c r="D23" s="897"/>
      <c r="E23" s="897"/>
      <c r="F23" s="897"/>
      <c r="G23" s="897"/>
      <c r="H23" s="897"/>
    </row>
    <row r="24" spans="1:8">
      <c r="A24" s="866"/>
      <c r="B24" s="866"/>
      <c r="C24" s="866"/>
      <c r="D24" s="866"/>
      <c r="E24" s="866"/>
      <c r="F24" s="866"/>
      <c r="G24" s="866"/>
      <c r="H24" s="866"/>
    </row>
    <row r="25" spans="1:8">
      <c r="A25" s="866"/>
      <c r="B25" s="866"/>
      <c r="C25" s="866"/>
      <c r="D25" s="866"/>
      <c r="E25" s="866"/>
      <c r="F25" s="866"/>
      <c r="G25" s="866"/>
      <c r="H25" s="866"/>
    </row>
    <row r="26" spans="1:8">
      <c r="A26" s="866"/>
      <c r="B26" s="866"/>
      <c r="C26" s="866"/>
      <c r="D26" s="866"/>
      <c r="E26" s="866"/>
      <c r="F26" s="866"/>
      <c r="G26" s="866"/>
      <c r="H26" s="866"/>
    </row>
    <row r="27" spans="1:8">
      <c r="A27" s="866"/>
      <c r="B27" s="866"/>
      <c r="C27" s="866"/>
      <c r="D27" s="866"/>
      <c r="E27" s="866"/>
      <c r="F27" s="866"/>
      <c r="G27" s="866"/>
      <c r="H27" s="866"/>
    </row>
    <row r="28" spans="1:8">
      <c r="A28" s="866"/>
      <c r="B28" s="866"/>
      <c r="C28" s="866"/>
      <c r="D28" s="866"/>
      <c r="E28" s="866"/>
      <c r="F28" s="866"/>
      <c r="G28" s="866"/>
      <c r="H28" s="866"/>
    </row>
    <row r="29" spans="1:8">
      <c r="A29" s="866"/>
      <c r="B29" s="866"/>
      <c r="C29" s="866"/>
      <c r="D29" s="866"/>
      <c r="E29" s="866"/>
      <c r="F29" s="866"/>
      <c r="G29" s="866"/>
      <c r="H29" s="866"/>
    </row>
    <row r="30" spans="1:8">
      <c r="A30" s="866"/>
      <c r="B30" s="866"/>
      <c r="C30" s="866"/>
      <c r="D30" s="866"/>
      <c r="E30" s="866"/>
      <c r="F30" s="866"/>
      <c r="G30" s="866"/>
      <c r="H30" s="866"/>
    </row>
    <row r="31" spans="1:8">
      <c r="A31" s="866"/>
      <c r="B31" s="866"/>
      <c r="C31" s="866"/>
      <c r="D31" s="866"/>
      <c r="E31" s="866"/>
      <c r="F31" s="866"/>
      <c r="G31" s="866"/>
      <c r="H31" s="866"/>
    </row>
    <row r="32" spans="1:8">
      <c r="A32" s="866"/>
      <c r="B32" s="866"/>
      <c r="C32" s="866"/>
      <c r="D32" s="866"/>
      <c r="E32" s="866"/>
      <c r="F32" s="866"/>
      <c r="G32" s="866"/>
      <c r="H32" s="866"/>
    </row>
    <row r="33" spans="1:8">
      <c r="A33" s="866"/>
      <c r="B33" s="866"/>
      <c r="C33" s="866"/>
      <c r="D33" s="866"/>
      <c r="E33" s="866"/>
      <c r="F33" s="866"/>
      <c r="G33" s="866"/>
      <c r="H33" s="866"/>
    </row>
    <row r="34" spans="1:8">
      <c r="A34" s="866"/>
      <c r="B34" s="866"/>
      <c r="C34" s="866"/>
      <c r="D34" s="866"/>
      <c r="E34" s="866"/>
      <c r="F34" s="866"/>
      <c r="G34" s="866"/>
      <c r="H34" s="866"/>
    </row>
    <row r="35" spans="1:8">
      <c r="A35" s="866"/>
      <c r="B35" s="897"/>
      <c r="C35" s="897"/>
      <c r="D35" s="897"/>
      <c r="E35" s="873"/>
      <c r="F35" s="873"/>
      <c r="G35" s="873"/>
      <c r="H35" s="866"/>
    </row>
    <row r="36" spans="1:8">
      <c r="A36" s="866"/>
      <c r="B36" s="897"/>
      <c r="C36" s="897"/>
      <c r="D36" s="897"/>
      <c r="E36" s="873"/>
      <c r="F36" s="873"/>
      <c r="G36" s="873"/>
      <c r="H36" s="866"/>
    </row>
    <row r="37" spans="1:8">
      <c r="A37" s="866"/>
      <c r="B37" s="897"/>
      <c r="C37" s="897"/>
      <c r="D37" s="897"/>
      <c r="E37" s="873"/>
      <c r="F37" s="873"/>
      <c r="G37" s="873"/>
      <c r="H37" s="866"/>
    </row>
    <row r="38" spans="1:8">
      <c r="A38" s="866"/>
      <c r="B38" s="897"/>
      <c r="C38" s="897"/>
      <c r="D38" s="897"/>
      <c r="E38" s="897"/>
      <c r="F38" s="897"/>
      <c r="G38" s="897"/>
      <c r="H38" s="866"/>
    </row>
    <row r="39" spans="1:8">
      <c r="A39" s="866"/>
      <c r="B39" s="866"/>
      <c r="C39" s="866"/>
      <c r="D39" s="866"/>
      <c r="E39" s="866"/>
      <c r="F39" s="866"/>
      <c r="G39" s="866"/>
      <c r="H39" s="866"/>
    </row>
    <row r="40" spans="1:8">
      <c r="A40" s="866"/>
      <c r="B40" s="866"/>
      <c r="C40" s="866"/>
      <c r="D40" s="866"/>
      <c r="E40" s="866"/>
      <c r="F40" s="866"/>
      <c r="G40" s="866"/>
      <c r="H40" s="866"/>
    </row>
    <row r="41" spans="1:8">
      <c r="A41" s="866"/>
      <c r="B41" s="866"/>
      <c r="C41" s="866"/>
      <c r="D41" s="866"/>
      <c r="E41" s="866"/>
      <c r="F41" s="866"/>
      <c r="G41" s="866"/>
      <c r="H41" s="866"/>
    </row>
    <row r="42" spans="1:8">
      <c r="A42" s="866"/>
      <c r="B42" s="866"/>
      <c r="C42" s="866"/>
      <c r="D42" s="866"/>
      <c r="E42" s="866"/>
      <c r="F42" s="866"/>
      <c r="G42" s="866"/>
      <c r="H42" s="866"/>
    </row>
    <row r="43" spans="1:8">
      <c r="A43" s="866"/>
      <c r="B43" s="866"/>
      <c r="C43" s="866"/>
      <c r="D43" s="866"/>
      <c r="E43" s="866"/>
      <c r="F43" s="866"/>
      <c r="G43" s="866"/>
      <c r="H43" s="866"/>
    </row>
    <row r="44" spans="1:8">
      <c r="A44" s="866"/>
      <c r="B44" s="866"/>
      <c r="C44" s="866"/>
      <c r="D44" s="866"/>
      <c r="E44" s="866"/>
      <c r="F44" s="866"/>
      <c r="G44" s="866"/>
      <c r="H44" s="866"/>
    </row>
    <row r="45" spans="1:8">
      <c r="A45" s="866"/>
      <c r="B45" s="866"/>
      <c r="C45" s="866"/>
      <c r="D45" s="866"/>
      <c r="E45" s="866"/>
      <c r="F45" s="866"/>
      <c r="G45" s="866"/>
      <c r="H45" s="866"/>
    </row>
    <row r="46" spans="1:8">
      <c r="A46" s="866"/>
      <c r="B46" s="866"/>
      <c r="C46" s="866"/>
      <c r="D46" s="866"/>
      <c r="E46" s="866"/>
      <c r="F46" s="866"/>
      <c r="G46" s="866"/>
      <c r="H46" s="866"/>
    </row>
    <row r="47" spans="1:8">
      <c r="A47" s="866"/>
      <c r="B47" s="866"/>
      <c r="C47" s="866"/>
      <c r="D47" s="866"/>
      <c r="E47" s="866"/>
      <c r="F47" s="866"/>
      <c r="G47" s="866"/>
      <c r="H47" s="866"/>
    </row>
    <row r="48" spans="1:8">
      <c r="A48" s="866"/>
      <c r="B48" s="866"/>
      <c r="C48" s="866"/>
      <c r="D48" s="866"/>
      <c r="E48" s="866"/>
      <c r="F48" s="866"/>
      <c r="G48" s="866"/>
      <c r="H48" s="866"/>
    </row>
    <row r="49" spans="1:8">
      <c r="A49" s="866"/>
      <c r="B49" s="866"/>
      <c r="C49" s="866"/>
      <c r="D49" s="866"/>
      <c r="E49" s="866"/>
      <c r="F49" s="866"/>
      <c r="G49" s="866"/>
      <c r="H49" s="866"/>
    </row>
    <row r="50" spans="1:8">
      <c r="A50" s="866"/>
      <c r="B50" s="897"/>
      <c r="C50" s="897"/>
      <c r="D50" s="897"/>
      <c r="E50" s="873"/>
      <c r="F50" s="873"/>
      <c r="G50" s="873"/>
      <c r="H50" s="866"/>
    </row>
    <row r="51" spans="1:8">
      <c r="A51" s="866"/>
      <c r="B51" s="897"/>
      <c r="C51" s="897"/>
      <c r="D51" s="897"/>
      <c r="E51" s="873"/>
      <c r="F51" s="873"/>
      <c r="G51" s="873"/>
      <c r="H51" s="866"/>
    </row>
    <row r="52" spans="1:8">
      <c r="A52" s="866"/>
      <c r="B52" s="897"/>
      <c r="C52" s="897"/>
      <c r="D52" s="897"/>
      <c r="E52" s="873"/>
      <c r="F52" s="873"/>
      <c r="G52" s="873"/>
      <c r="H52" s="866"/>
    </row>
    <row r="53" spans="1:8">
      <c r="A53" s="866"/>
      <c r="B53" s="897"/>
      <c r="C53" s="897"/>
      <c r="D53" s="897"/>
      <c r="E53" s="897"/>
      <c r="F53" s="897"/>
      <c r="G53" s="897"/>
      <c r="H53" s="866"/>
    </row>
    <row r="54" spans="1:8">
      <c r="A54" s="866"/>
      <c r="B54" s="866"/>
      <c r="C54" s="866"/>
      <c r="D54" s="866"/>
      <c r="E54" s="866"/>
      <c r="F54" s="866"/>
      <c r="G54" s="866"/>
      <c r="H54" s="866"/>
    </row>
    <row r="55" spans="1:8">
      <c r="A55" s="866"/>
      <c r="B55" s="866"/>
      <c r="C55" s="866"/>
      <c r="D55" s="866"/>
      <c r="E55" s="866"/>
      <c r="F55" s="866"/>
      <c r="G55" s="866"/>
      <c r="H55" s="866"/>
    </row>
    <row r="56" spans="1:8">
      <c r="A56" s="866"/>
      <c r="B56" s="866"/>
      <c r="C56" s="866"/>
      <c r="D56" s="866"/>
      <c r="E56" s="866"/>
      <c r="F56" s="866"/>
      <c r="G56" s="866"/>
      <c r="H56" s="866"/>
    </row>
    <row r="57" spans="1:8">
      <c r="A57" s="866"/>
      <c r="B57" s="866"/>
      <c r="C57" s="866"/>
      <c r="D57" s="866"/>
      <c r="E57" s="866"/>
      <c r="F57" s="866"/>
      <c r="G57" s="866"/>
      <c r="H57" s="866"/>
    </row>
    <row r="58" spans="1:8">
      <c r="A58" s="866"/>
      <c r="B58" s="866"/>
      <c r="C58" s="866"/>
      <c r="D58" s="866"/>
      <c r="E58" s="866"/>
      <c r="F58" s="866"/>
      <c r="G58" s="866"/>
      <c r="H58" s="866"/>
    </row>
    <row r="59" spans="1:8">
      <c r="A59" s="866"/>
      <c r="B59" s="866"/>
      <c r="C59" s="866"/>
      <c r="D59" s="866"/>
      <c r="E59" s="866"/>
      <c r="F59" s="866"/>
      <c r="G59" s="866"/>
      <c r="H59" s="866"/>
    </row>
    <row r="60" spans="1:8">
      <c r="A60" s="866"/>
      <c r="B60" s="866"/>
      <c r="C60" s="866"/>
      <c r="D60" s="866"/>
      <c r="E60" s="866"/>
      <c r="F60" s="866"/>
      <c r="G60" s="866"/>
      <c r="H60" s="866"/>
    </row>
    <row r="61" spans="1:8">
      <c r="A61" s="866"/>
      <c r="B61" s="866"/>
      <c r="C61" s="866"/>
      <c r="D61" s="866"/>
      <c r="E61" s="866"/>
      <c r="F61" s="866"/>
      <c r="G61" s="866"/>
      <c r="H61" s="866"/>
    </row>
    <row r="62" spans="1:8">
      <c r="A62" s="866"/>
      <c r="B62" s="866"/>
      <c r="C62" s="866"/>
      <c r="D62" s="866"/>
      <c r="E62" s="866"/>
      <c r="F62" s="866"/>
      <c r="G62" s="866"/>
      <c r="H62" s="866"/>
    </row>
    <row r="63" spans="1:8">
      <c r="A63" s="866"/>
      <c r="B63" s="866"/>
      <c r="C63" s="866"/>
      <c r="D63" s="866"/>
      <c r="E63" s="866"/>
      <c r="F63" s="866"/>
      <c r="G63" s="866"/>
      <c r="H63" s="866"/>
    </row>
    <row r="64" spans="1:8">
      <c r="A64" s="866"/>
      <c r="B64" s="866"/>
      <c r="C64" s="866"/>
      <c r="D64" s="866"/>
      <c r="E64" s="866"/>
      <c r="F64" s="866"/>
      <c r="G64" s="866"/>
      <c r="H64" s="866"/>
    </row>
    <row r="65" spans="1:8">
      <c r="A65" s="866"/>
      <c r="B65" s="866"/>
      <c r="C65" s="866"/>
      <c r="D65" s="866"/>
      <c r="E65" s="866"/>
      <c r="F65" s="866"/>
      <c r="G65" s="866"/>
      <c r="H65" s="866"/>
    </row>
    <row r="66" spans="1:8">
      <c r="A66" s="866"/>
      <c r="B66" s="866"/>
      <c r="C66" s="866"/>
      <c r="D66" s="866"/>
      <c r="E66" s="866"/>
      <c r="F66" s="866"/>
      <c r="G66" s="866"/>
      <c r="H66" s="866"/>
    </row>
    <row r="67" spans="1:8">
      <c r="A67" s="866"/>
      <c r="B67" s="866"/>
      <c r="C67" s="866"/>
      <c r="D67" s="866"/>
      <c r="E67" s="866"/>
      <c r="F67" s="866"/>
      <c r="G67" s="866"/>
      <c r="H67" s="866"/>
    </row>
  </sheetData>
  <phoneticPr fontId="57" type="noConversion"/>
  <pageMargins left="0.59055118110236227" right="0.78740157480314965" top="0.78740157480314965" bottom="0.78740157480314965" header="0.51181102362204722" footer="0.51181102362204722"/>
  <pageSetup paperSize="5" scale="95" orientation="portrait" horizontalDpi="300" verticalDpi="300" r:id="rId1"/>
  <headerFooter alignWithMargins="0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3"/>
  <sheetViews>
    <sheetView topLeftCell="A13" workbookViewId="0">
      <selection activeCell="I22" sqref="I22"/>
    </sheetView>
  </sheetViews>
  <sheetFormatPr baseColWidth="10" defaultColWidth="14.85546875" defaultRowHeight="12.75"/>
  <cols>
    <col min="1" max="1" width="13.7109375" style="866" customWidth="1"/>
    <col min="2" max="4" width="9.28515625" style="866" customWidth="1"/>
    <col min="5" max="5" width="14.85546875" style="866" customWidth="1"/>
    <col min="6" max="6" width="13.7109375" style="866" customWidth="1"/>
    <col min="7" max="7" width="12.42578125" style="866" customWidth="1"/>
    <col min="8" max="8" width="12.85546875" style="866" customWidth="1"/>
    <col min="9" max="16384" width="14.85546875" style="866"/>
  </cols>
  <sheetData>
    <row r="1" spans="1:9" s="910" customFormat="1">
      <c r="A1" s="863" t="s">
        <v>202</v>
      </c>
      <c r="B1" s="864"/>
      <c r="C1" s="864"/>
      <c r="D1" s="864"/>
      <c r="E1" s="864"/>
      <c r="F1" s="864"/>
      <c r="G1" s="864"/>
      <c r="H1" s="864"/>
      <c r="I1" s="909"/>
    </row>
    <row r="2" spans="1:9" s="910" customFormat="1">
      <c r="A2" s="863"/>
      <c r="B2" s="864"/>
      <c r="C2" s="864"/>
      <c r="D2" s="864"/>
      <c r="E2" s="864"/>
      <c r="F2" s="864"/>
      <c r="G2" s="864"/>
      <c r="H2" s="864"/>
      <c r="I2" s="909"/>
    </row>
    <row r="3" spans="1:9" s="910" customFormat="1">
      <c r="A3" s="863" t="s">
        <v>214</v>
      </c>
      <c r="B3" s="864"/>
      <c r="C3" s="864"/>
      <c r="D3" s="864"/>
      <c r="E3" s="864"/>
      <c r="F3" s="864"/>
      <c r="G3" s="864"/>
      <c r="H3" s="864"/>
      <c r="I3" s="909"/>
    </row>
    <row r="4" spans="1:9" s="910" customFormat="1">
      <c r="A4" s="863" t="str">
        <f>+'93'!A4</f>
        <v>2005  -  2014</v>
      </c>
      <c r="B4" s="864"/>
      <c r="C4" s="864"/>
      <c r="D4" s="864"/>
      <c r="E4" s="864"/>
      <c r="F4" s="864"/>
      <c r="G4" s="864"/>
      <c r="H4" s="864"/>
      <c r="I4" s="909"/>
    </row>
    <row r="5" spans="1:9">
      <c r="B5" s="867"/>
      <c r="C5" s="867"/>
      <c r="D5" s="867"/>
      <c r="E5" s="867"/>
      <c r="F5" s="867"/>
      <c r="G5" s="867"/>
      <c r="H5" s="867"/>
    </row>
    <row r="7" spans="1:9" ht="17.25" customHeight="1">
      <c r="B7" s="868"/>
      <c r="C7" s="869" t="s">
        <v>204</v>
      </c>
      <c r="D7" s="869" t="s">
        <v>205</v>
      </c>
      <c r="E7" s="870" t="s">
        <v>736</v>
      </c>
      <c r="F7" s="871" t="s">
        <v>206</v>
      </c>
      <c r="G7" s="872" t="s">
        <v>207</v>
      </c>
      <c r="H7" s="873"/>
      <c r="I7" s="899"/>
    </row>
    <row r="8" spans="1:9" ht="17.25" customHeight="1">
      <c r="B8" s="900" t="s">
        <v>709</v>
      </c>
      <c r="C8" s="875" t="s">
        <v>208</v>
      </c>
      <c r="D8" s="875" t="s">
        <v>208</v>
      </c>
      <c r="E8" s="876" t="s">
        <v>209</v>
      </c>
      <c r="F8" s="877" t="s">
        <v>210</v>
      </c>
      <c r="G8" s="878" t="s">
        <v>211</v>
      </c>
      <c r="H8" s="873"/>
      <c r="I8" s="899"/>
    </row>
    <row r="9" spans="1:9" ht="17.25" customHeight="1">
      <c r="B9" s="879">
        <v>2005</v>
      </c>
      <c r="C9" s="901">
        <v>69</v>
      </c>
      <c r="D9" s="902">
        <v>68</v>
      </c>
      <c r="E9" s="881">
        <v>1890</v>
      </c>
      <c r="F9" s="882">
        <v>24.8</v>
      </c>
      <c r="G9" s="883">
        <v>3.34</v>
      </c>
      <c r="H9" s="873"/>
      <c r="I9" s="899"/>
    </row>
    <row r="10" spans="1:9" ht="17.25" customHeight="1">
      <c r="B10" s="879">
        <v>2006</v>
      </c>
      <c r="C10" s="879">
        <v>69</v>
      </c>
      <c r="D10" s="884">
        <v>60</v>
      </c>
      <c r="E10" s="932">
        <v>1956</v>
      </c>
      <c r="F10" s="882">
        <v>27.8</v>
      </c>
      <c r="G10" s="883">
        <v>3.11</v>
      </c>
      <c r="H10" s="873"/>
      <c r="I10" s="899"/>
    </row>
    <row r="11" spans="1:9" ht="17.25" customHeight="1">
      <c r="B11" s="879">
        <v>2007</v>
      </c>
      <c r="C11" s="879">
        <v>69</v>
      </c>
      <c r="D11" s="884">
        <v>55</v>
      </c>
      <c r="E11" s="932">
        <v>1960</v>
      </c>
      <c r="F11" s="882">
        <v>39.954041362773502</v>
      </c>
      <c r="G11" s="883">
        <v>4.069897959183673</v>
      </c>
      <c r="H11" s="873"/>
      <c r="I11" s="899"/>
    </row>
    <row r="12" spans="1:9" ht="17.25" customHeight="1">
      <c r="B12" s="879">
        <v>2008</v>
      </c>
      <c r="C12" s="879">
        <v>69</v>
      </c>
      <c r="D12" s="884">
        <v>46</v>
      </c>
      <c r="E12" s="886">
        <v>1671</v>
      </c>
      <c r="F12" s="888">
        <v>35.5</v>
      </c>
      <c r="G12" s="889">
        <v>3.54</v>
      </c>
      <c r="H12" s="873"/>
      <c r="I12" s="899"/>
    </row>
    <row r="13" spans="1:9" ht="15" customHeight="1">
      <c r="B13" s="879">
        <v>2009</v>
      </c>
      <c r="C13" s="879">
        <v>45</v>
      </c>
      <c r="D13" s="884">
        <v>45</v>
      </c>
      <c r="E13" s="886">
        <v>1989</v>
      </c>
      <c r="F13" s="888">
        <v>40.299999999999997</v>
      </c>
      <c r="G13" s="889">
        <v>3.33</v>
      </c>
      <c r="H13" s="873"/>
      <c r="I13" s="899"/>
    </row>
    <row r="14" spans="1:9" ht="15" customHeight="1">
      <c r="B14" s="879">
        <v>2010</v>
      </c>
      <c r="C14" s="879">
        <v>45</v>
      </c>
      <c r="D14" s="884">
        <v>44</v>
      </c>
      <c r="E14" s="886">
        <v>2091</v>
      </c>
      <c r="F14" s="888">
        <v>45.413420457401358</v>
      </c>
      <c r="G14" s="889">
        <v>3.3782879005260642</v>
      </c>
      <c r="H14" s="873"/>
      <c r="I14" s="899"/>
    </row>
    <row r="15" spans="1:9" ht="15" customHeight="1">
      <c r="B15" s="879">
        <v>2011</v>
      </c>
      <c r="C15" s="879">
        <v>45</v>
      </c>
      <c r="D15" s="884">
        <v>43</v>
      </c>
      <c r="E15" s="886">
        <v>1863</v>
      </c>
      <c r="F15" s="888">
        <v>45.050415371932274</v>
      </c>
      <c r="G15" s="889">
        <v>3.595276435856146</v>
      </c>
      <c r="H15" s="873"/>
      <c r="I15" s="899"/>
    </row>
    <row r="16" spans="1:9" ht="15" customHeight="1">
      <c r="B16" s="879">
        <v>2012</v>
      </c>
      <c r="C16" s="879">
        <v>45</v>
      </c>
      <c r="D16" s="884">
        <v>44</v>
      </c>
      <c r="E16" s="886">
        <v>1709</v>
      </c>
      <c r="F16" s="888">
        <v>38.77563627378305</v>
      </c>
      <c r="G16" s="889">
        <v>3.9531889994148623</v>
      </c>
      <c r="H16" s="873"/>
      <c r="I16" s="899"/>
    </row>
    <row r="17" spans="2:9" ht="15" customHeight="1">
      <c r="B17" s="879">
        <v>2013</v>
      </c>
      <c r="C17" s="879">
        <v>45</v>
      </c>
      <c r="D17" s="1067">
        <v>34.460273972602742</v>
      </c>
      <c r="E17" s="886">
        <v>1248</v>
      </c>
      <c r="F17" s="888">
        <v>43.671489903005245</v>
      </c>
      <c r="G17" s="889">
        <v>4.0376602564102564</v>
      </c>
      <c r="H17" s="873"/>
      <c r="I17" s="899"/>
    </row>
    <row r="18" spans="2:9" ht="15" customHeight="1">
      <c r="B18" s="890">
        <f>+'91'!B18</f>
        <v>2014</v>
      </c>
      <c r="C18" s="906">
        <v>45</v>
      </c>
      <c r="D18" s="907">
        <f>+'88'!R12/365</f>
        <v>43.794520547945204</v>
      </c>
      <c r="E18" s="891">
        <f>+'88'!O12</f>
        <v>1480</v>
      </c>
      <c r="F18" s="893">
        <f>+'88'!V12</f>
        <v>49.95308101345011</v>
      </c>
      <c r="G18" s="894">
        <f>+'88'!W12</f>
        <v>5.5182432432432433</v>
      </c>
      <c r="H18" s="873"/>
      <c r="I18" s="899"/>
    </row>
    <row r="19" spans="2:9" ht="15" customHeight="1">
      <c r="B19" s="895"/>
      <c r="C19" s="895"/>
      <c r="D19" s="895"/>
      <c r="E19" s="881"/>
      <c r="F19" s="881"/>
      <c r="G19" s="896"/>
      <c r="H19" s="873"/>
      <c r="I19" s="899"/>
    </row>
    <row r="20" spans="2:9">
      <c r="B20" s="897"/>
      <c r="C20" s="897"/>
      <c r="D20" s="897"/>
      <c r="E20" s="873"/>
      <c r="F20" s="873"/>
      <c r="G20" s="873"/>
      <c r="H20" s="873"/>
      <c r="I20" s="899"/>
    </row>
    <row r="21" spans="2:9">
      <c r="B21" s="897"/>
      <c r="C21" s="897"/>
      <c r="D21" s="897"/>
      <c r="E21" s="873"/>
      <c r="F21" s="873"/>
      <c r="G21" s="873"/>
      <c r="H21" s="873"/>
      <c r="I21" s="899"/>
    </row>
    <row r="22" spans="2:9">
      <c r="B22" s="897"/>
      <c r="C22" s="897"/>
      <c r="D22" s="897"/>
      <c r="E22" s="873"/>
      <c r="F22" s="873"/>
      <c r="G22" s="873"/>
      <c r="H22" s="873"/>
      <c r="I22" s="899"/>
    </row>
    <row r="23" spans="2:9">
      <c r="B23" s="897"/>
      <c r="C23" s="897"/>
      <c r="D23" s="897"/>
      <c r="E23" s="897"/>
      <c r="F23" s="897"/>
      <c r="G23" s="897"/>
      <c r="H23" s="897"/>
    </row>
    <row r="35" spans="2:7">
      <c r="B35" s="897"/>
      <c r="C35" s="897"/>
      <c r="D35" s="897"/>
      <c r="E35" s="873"/>
      <c r="F35" s="873"/>
      <c r="G35" s="873"/>
    </row>
    <row r="36" spans="2:7">
      <c r="B36" s="897"/>
      <c r="C36" s="897"/>
      <c r="D36" s="897"/>
      <c r="E36" s="873"/>
      <c r="F36" s="873"/>
      <c r="G36" s="873"/>
    </row>
    <row r="37" spans="2:7">
      <c r="B37" s="897"/>
      <c r="C37" s="897"/>
      <c r="D37" s="897"/>
      <c r="E37" s="873"/>
      <c r="F37" s="873"/>
      <c r="G37" s="873"/>
    </row>
    <row r="38" spans="2:7">
      <c r="B38" s="897"/>
      <c r="C38" s="897"/>
      <c r="D38" s="897"/>
      <c r="E38" s="897"/>
      <c r="F38" s="897"/>
      <c r="G38" s="897"/>
    </row>
    <row r="50" spans="2:7">
      <c r="B50" s="897"/>
      <c r="C50" s="897"/>
      <c r="D50" s="897"/>
      <c r="E50" s="873"/>
      <c r="F50" s="873"/>
      <c r="G50" s="873"/>
    </row>
    <row r="51" spans="2:7">
      <c r="B51" s="897"/>
      <c r="C51" s="897"/>
      <c r="D51" s="897"/>
      <c r="E51" s="873"/>
      <c r="F51" s="873"/>
      <c r="G51" s="873"/>
    </row>
    <row r="52" spans="2:7">
      <c r="B52" s="897"/>
      <c r="C52" s="897"/>
      <c r="D52" s="897"/>
      <c r="E52" s="873"/>
      <c r="F52" s="873"/>
      <c r="G52" s="873"/>
    </row>
    <row r="53" spans="2:7">
      <c r="B53" s="897"/>
      <c r="C53" s="897"/>
      <c r="D53" s="897"/>
      <c r="E53" s="897"/>
      <c r="F53" s="897"/>
      <c r="G53" s="897"/>
    </row>
  </sheetData>
  <phoneticPr fontId="57" type="noConversion"/>
  <pageMargins left="0.59055118110236227" right="0.78740157480314965" top="0.78740157480314965" bottom="0.78740157480314965" header="0.51181102362204722" footer="0.51181102362204722"/>
  <pageSetup paperSize="5" scale="95" orientation="portrait" horizontalDpi="300" verticalDpi="300" r:id="rId1"/>
  <headerFooter alignWithMargins="0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3"/>
  <sheetViews>
    <sheetView topLeftCell="A16" workbookViewId="0">
      <selection activeCell="E21" sqref="E21"/>
    </sheetView>
  </sheetViews>
  <sheetFormatPr baseColWidth="10" defaultColWidth="14.85546875" defaultRowHeight="12.75"/>
  <cols>
    <col min="1" max="1" width="13.7109375" style="866" customWidth="1"/>
    <col min="2" max="4" width="9.28515625" style="866" customWidth="1"/>
    <col min="5" max="5" width="14.85546875" style="866" customWidth="1"/>
    <col min="6" max="6" width="13.7109375" style="866" customWidth="1"/>
    <col min="7" max="7" width="12.42578125" style="866" customWidth="1"/>
    <col min="8" max="8" width="13.7109375" style="866" customWidth="1"/>
    <col min="9" max="9" width="14.85546875" style="933" customWidth="1"/>
    <col min="10" max="16384" width="14.85546875" style="866"/>
  </cols>
  <sheetData>
    <row r="1" spans="1:9" s="910" customFormat="1">
      <c r="A1" s="863" t="s">
        <v>202</v>
      </c>
      <c r="B1" s="864"/>
      <c r="C1" s="864"/>
      <c r="D1" s="864"/>
      <c r="E1" s="864"/>
      <c r="F1" s="864"/>
      <c r="G1" s="864"/>
      <c r="H1" s="864"/>
      <c r="I1" s="909"/>
    </row>
    <row r="2" spans="1:9" s="910" customFormat="1">
      <c r="A2" s="863"/>
      <c r="B2" s="864"/>
      <c r="C2" s="864"/>
      <c r="D2" s="864"/>
      <c r="E2" s="864"/>
      <c r="F2" s="864"/>
      <c r="G2" s="864"/>
      <c r="H2" s="864"/>
      <c r="I2" s="909"/>
    </row>
    <row r="3" spans="1:9" s="910" customFormat="1">
      <c r="A3" s="863" t="s">
        <v>215</v>
      </c>
      <c r="B3" s="864"/>
      <c r="C3" s="864"/>
      <c r="D3" s="864"/>
      <c r="E3" s="864"/>
      <c r="F3" s="864"/>
      <c r="G3" s="864"/>
      <c r="H3" s="864"/>
      <c r="I3" s="909"/>
    </row>
    <row r="4" spans="1:9" s="910" customFormat="1">
      <c r="A4" s="863" t="str">
        <f>+'94'!A4</f>
        <v>2005  -  2014</v>
      </c>
      <c r="B4" s="864"/>
      <c r="C4" s="864"/>
      <c r="D4" s="864"/>
      <c r="E4" s="864"/>
      <c r="F4" s="864"/>
      <c r="G4" s="864"/>
      <c r="H4" s="864"/>
      <c r="I4" s="909"/>
    </row>
    <row r="5" spans="1:9">
      <c r="B5" s="867"/>
      <c r="C5" s="867"/>
      <c r="D5" s="867"/>
      <c r="E5" s="867"/>
      <c r="F5" s="867"/>
      <c r="G5" s="867"/>
      <c r="H5" s="867"/>
    </row>
    <row r="7" spans="1:9" ht="17.25" customHeight="1">
      <c r="B7" s="868"/>
      <c r="C7" s="869" t="s">
        <v>204</v>
      </c>
      <c r="D7" s="869" t="s">
        <v>205</v>
      </c>
      <c r="E7" s="870" t="s">
        <v>736</v>
      </c>
      <c r="F7" s="871" t="s">
        <v>206</v>
      </c>
      <c r="G7" s="872" t="s">
        <v>207</v>
      </c>
      <c r="H7" s="873"/>
      <c r="I7" s="934"/>
    </row>
    <row r="8" spans="1:9" ht="17.25" customHeight="1">
      <c r="B8" s="900" t="s">
        <v>709</v>
      </c>
      <c r="C8" s="875" t="s">
        <v>208</v>
      </c>
      <c r="D8" s="875" t="s">
        <v>208</v>
      </c>
      <c r="E8" s="876" t="s">
        <v>209</v>
      </c>
      <c r="F8" s="877" t="s">
        <v>210</v>
      </c>
      <c r="G8" s="878" t="s">
        <v>211</v>
      </c>
      <c r="H8" s="873"/>
      <c r="I8" s="934"/>
    </row>
    <row r="9" spans="1:9" ht="17.25" customHeight="1">
      <c r="B9" s="879">
        <v>2005</v>
      </c>
      <c r="C9" s="901">
        <v>27</v>
      </c>
      <c r="D9" s="902">
        <v>25</v>
      </c>
      <c r="E9" s="903">
        <v>645</v>
      </c>
      <c r="F9" s="882">
        <v>49.5</v>
      </c>
      <c r="G9" s="883">
        <v>6.79</v>
      </c>
      <c r="H9" s="873"/>
      <c r="I9" s="934"/>
    </row>
    <row r="10" spans="1:9" ht="17.25" customHeight="1">
      <c r="B10" s="879">
        <v>2006</v>
      </c>
      <c r="C10" s="879">
        <v>27</v>
      </c>
      <c r="D10" s="884">
        <v>27</v>
      </c>
      <c r="E10" s="885">
        <v>698</v>
      </c>
      <c r="F10" s="882">
        <v>53</v>
      </c>
      <c r="G10" s="883">
        <v>7.39</v>
      </c>
      <c r="H10" s="873"/>
      <c r="I10" s="934"/>
    </row>
    <row r="11" spans="1:9" ht="17.25" customHeight="1">
      <c r="B11" s="879">
        <v>2007</v>
      </c>
      <c r="C11" s="879">
        <v>27</v>
      </c>
      <c r="D11" s="884">
        <v>27</v>
      </c>
      <c r="E11" s="885">
        <v>720</v>
      </c>
      <c r="F11" s="882">
        <v>64.008117706747854</v>
      </c>
      <c r="G11" s="883">
        <v>8.8097222222222218</v>
      </c>
      <c r="H11" s="873"/>
      <c r="I11" s="934"/>
    </row>
    <row r="12" spans="1:9" ht="17.25" customHeight="1">
      <c r="B12" s="879">
        <v>2008</v>
      </c>
      <c r="C12" s="879">
        <v>27</v>
      </c>
      <c r="D12" s="884">
        <v>27</v>
      </c>
      <c r="E12" s="905">
        <v>664</v>
      </c>
      <c r="F12" s="888">
        <v>53.7</v>
      </c>
      <c r="G12" s="889">
        <v>8.17</v>
      </c>
      <c r="H12" s="873"/>
      <c r="I12" s="934"/>
    </row>
    <row r="13" spans="1:9" ht="15" customHeight="1">
      <c r="B13" s="879">
        <v>2009</v>
      </c>
      <c r="C13" s="879">
        <v>27</v>
      </c>
      <c r="D13" s="884">
        <v>27</v>
      </c>
      <c r="E13" s="905">
        <v>694</v>
      </c>
      <c r="F13" s="888">
        <v>45.1</v>
      </c>
      <c r="G13" s="889">
        <v>6.78</v>
      </c>
      <c r="H13" s="873"/>
      <c r="I13" s="934"/>
    </row>
    <row r="14" spans="1:9" ht="15" customHeight="1">
      <c r="B14" s="879">
        <v>2010</v>
      </c>
      <c r="C14" s="879">
        <v>27</v>
      </c>
      <c r="D14" s="884">
        <v>10</v>
      </c>
      <c r="E14" s="905">
        <v>303</v>
      </c>
      <c r="F14" s="888">
        <v>63.513513513513509</v>
      </c>
      <c r="G14" s="889">
        <v>8.5742574257425748</v>
      </c>
      <c r="H14" s="873"/>
      <c r="I14" s="934"/>
    </row>
    <row r="15" spans="1:9" ht="15" customHeight="1">
      <c r="B15" s="879">
        <v>2011</v>
      </c>
      <c r="C15" s="879">
        <v>28</v>
      </c>
      <c r="D15" s="884">
        <v>17</v>
      </c>
      <c r="E15" s="905">
        <v>452</v>
      </c>
      <c r="F15" s="888">
        <v>66.287818152713314</v>
      </c>
      <c r="G15" s="889">
        <v>9.0044247787610612</v>
      </c>
      <c r="H15" s="873"/>
      <c r="I15" s="934"/>
    </row>
    <row r="16" spans="1:9" ht="15" customHeight="1">
      <c r="B16" s="879">
        <v>2012</v>
      </c>
      <c r="C16" s="879">
        <v>28</v>
      </c>
      <c r="D16" s="884">
        <v>28</v>
      </c>
      <c r="E16" s="905">
        <v>519</v>
      </c>
      <c r="F16" s="888">
        <v>56.240234375</v>
      </c>
      <c r="G16" s="889">
        <v>10.273603082851638</v>
      </c>
      <c r="H16" s="873"/>
      <c r="I16" s="934"/>
    </row>
    <row r="17" spans="2:9" ht="15" customHeight="1">
      <c r="B17" s="879">
        <v>2013</v>
      </c>
      <c r="C17" s="879">
        <v>28</v>
      </c>
      <c r="D17" s="1067">
        <v>27.923287671232877</v>
      </c>
      <c r="E17" s="905">
        <v>576</v>
      </c>
      <c r="F17" s="888">
        <v>49.126766091051806</v>
      </c>
      <c r="G17" s="889">
        <v>8.3524305555555554</v>
      </c>
      <c r="H17" s="873"/>
      <c r="I17" s="934"/>
    </row>
    <row r="18" spans="2:9" ht="15" customHeight="1">
      <c r="B18" s="890">
        <f>+'91'!B18</f>
        <v>2014</v>
      </c>
      <c r="C18" s="906">
        <v>28</v>
      </c>
      <c r="D18" s="907">
        <f>+'89'!R12/365</f>
        <v>28.076712328767123</v>
      </c>
      <c r="E18" s="908">
        <f>+'89'!O12</f>
        <v>608</v>
      </c>
      <c r="F18" s="893">
        <f>+'89'!V12</f>
        <v>56.391491022638562</v>
      </c>
      <c r="G18" s="894">
        <f>+'89'!W12</f>
        <v>8.1891447368421044</v>
      </c>
      <c r="H18" s="873"/>
      <c r="I18" s="934"/>
    </row>
    <row r="19" spans="2:9" ht="15" customHeight="1">
      <c r="B19" s="1196" t="s">
        <v>1479</v>
      </c>
      <c r="C19" s="895"/>
      <c r="D19" s="895"/>
      <c r="E19" s="881"/>
      <c r="F19" s="881"/>
      <c r="G19" s="896"/>
      <c r="H19" s="873"/>
      <c r="I19" s="934"/>
    </row>
    <row r="20" spans="2:9">
      <c r="B20" s="897" t="s">
        <v>983</v>
      </c>
      <c r="C20" s="897"/>
      <c r="D20" s="897"/>
      <c r="E20" s="873"/>
      <c r="F20" s="873"/>
      <c r="G20" s="873"/>
      <c r="H20" s="873"/>
      <c r="I20" s="934"/>
    </row>
    <row r="21" spans="2:9">
      <c r="B21" s="897"/>
      <c r="C21" s="897"/>
      <c r="D21" s="897"/>
      <c r="E21" s="873"/>
      <c r="F21" s="873"/>
      <c r="G21" s="873"/>
      <c r="H21" s="873"/>
      <c r="I21" s="934"/>
    </row>
    <row r="22" spans="2:9">
      <c r="B22" s="897"/>
      <c r="C22" s="897"/>
      <c r="D22" s="897"/>
      <c r="E22" s="873"/>
      <c r="F22" s="873"/>
      <c r="G22" s="873"/>
      <c r="H22" s="873"/>
      <c r="I22" s="934"/>
    </row>
    <row r="23" spans="2:9">
      <c r="B23" s="897"/>
      <c r="C23" s="897"/>
      <c r="D23" s="897"/>
      <c r="E23" s="897"/>
      <c r="F23" s="897"/>
      <c r="G23" s="897"/>
      <c r="H23" s="897"/>
    </row>
    <row r="35" spans="2:7">
      <c r="B35" s="897"/>
      <c r="C35" s="897"/>
      <c r="D35" s="897"/>
      <c r="E35" s="873"/>
      <c r="F35" s="873"/>
      <c r="G35" s="873"/>
    </row>
    <row r="36" spans="2:7">
      <c r="B36" s="897"/>
      <c r="C36" s="897"/>
      <c r="D36" s="897"/>
      <c r="E36" s="873"/>
      <c r="F36" s="873"/>
      <c r="G36" s="873"/>
    </row>
    <row r="37" spans="2:7">
      <c r="B37" s="897"/>
      <c r="C37" s="897"/>
      <c r="D37" s="897"/>
      <c r="E37" s="873"/>
      <c r="F37" s="873"/>
      <c r="G37" s="873"/>
    </row>
    <row r="38" spans="2:7">
      <c r="B38" s="897"/>
      <c r="C38" s="897"/>
      <c r="D38" s="897"/>
      <c r="E38" s="897"/>
      <c r="F38" s="897"/>
      <c r="G38" s="897"/>
    </row>
    <row r="50" spans="2:7">
      <c r="B50" s="897"/>
      <c r="C50" s="897"/>
      <c r="D50" s="897"/>
      <c r="E50" s="873"/>
      <c r="F50" s="873"/>
      <c r="G50" s="873"/>
    </row>
    <row r="51" spans="2:7">
      <c r="B51" s="897"/>
      <c r="C51" s="897"/>
      <c r="D51" s="897"/>
      <c r="E51" s="873"/>
      <c r="F51" s="873"/>
      <c r="G51" s="873"/>
    </row>
    <row r="52" spans="2:7">
      <c r="B52" s="897"/>
      <c r="C52" s="897"/>
      <c r="D52" s="897"/>
      <c r="E52" s="873"/>
      <c r="F52" s="873"/>
      <c r="G52" s="873"/>
    </row>
    <row r="53" spans="2:7">
      <c r="B53" s="897"/>
      <c r="C53" s="897"/>
      <c r="D53" s="897"/>
      <c r="E53" s="897"/>
      <c r="F53" s="897"/>
      <c r="G53" s="897"/>
    </row>
  </sheetData>
  <phoneticPr fontId="57" type="noConversion"/>
  <pageMargins left="0.59055118110236227" right="0.78740157480314965" top="0.78740157480314965" bottom="0.78740157480314965" header="0.51181102362204722" footer="0.51181102362204722"/>
  <pageSetup paperSize="5" scale="95" orientation="portrait" horizontalDpi="300" verticalDpi="300" r:id="rId1"/>
  <headerFooter alignWithMargins="0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3"/>
  <sheetViews>
    <sheetView topLeftCell="A10" workbookViewId="0">
      <selection activeCell="C18" sqref="C18"/>
    </sheetView>
  </sheetViews>
  <sheetFormatPr baseColWidth="10" defaultColWidth="14.85546875" defaultRowHeight="12.75"/>
  <cols>
    <col min="1" max="1" width="11.28515625" style="866" customWidth="1"/>
    <col min="2" max="4" width="9.28515625" style="866" customWidth="1"/>
    <col min="5" max="5" width="15" style="866" customWidth="1"/>
    <col min="6" max="7" width="13.85546875" style="866" customWidth="1"/>
    <col min="8" max="16384" width="14.85546875" style="866"/>
  </cols>
  <sheetData>
    <row r="1" spans="1:9" s="910" customFormat="1">
      <c r="A1" s="863" t="s">
        <v>202</v>
      </c>
      <c r="B1" s="864"/>
      <c r="C1" s="864"/>
      <c r="D1" s="864"/>
      <c r="E1" s="864"/>
      <c r="F1" s="864"/>
      <c r="G1" s="864"/>
      <c r="H1" s="864"/>
      <c r="I1" s="909"/>
    </row>
    <row r="2" spans="1:9" s="910" customFormat="1">
      <c r="A2" s="863"/>
      <c r="B2" s="864"/>
      <c r="C2" s="864"/>
      <c r="D2" s="864"/>
      <c r="E2" s="864"/>
      <c r="F2" s="864"/>
      <c r="G2" s="864"/>
      <c r="H2" s="864"/>
      <c r="I2" s="909"/>
    </row>
    <row r="3" spans="1:9" s="910" customFormat="1">
      <c r="A3" s="863" t="s">
        <v>216</v>
      </c>
      <c r="B3" s="864"/>
      <c r="C3" s="864"/>
      <c r="D3" s="864"/>
      <c r="E3" s="864"/>
      <c r="F3" s="864"/>
      <c r="G3" s="864"/>
      <c r="H3" s="864"/>
      <c r="I3" s="909"/>
    </row>
    <row r="4" spans="1:9" s="910" customFormat="1">
      <c r="A4" s="863" t="str">
        <f>+'95'!A4</f>
        <v>2005  -  2014</v>
      </c>
      <c r="B4" s="864"/>
      <c r="C4" s="864"/>
      <c r="D4" s="864"/>
      <c r="E4" s="864"/>
      <c r="F4" s="864"/>
      <c r="G4" s="864"/>
      <c r="H4" s="864"/>
      <c r="I4" s="909"/>
    </row>
    <row r="5" spans="1:9">
      <c r="B5" s="867"/>
      <c r="C5" s="867"/>
      <c r="D5" s="867"/>
      <c r="E5" s="867"/>
      <c r="F5" s="867"/>
      <c r="G5" s="867"/>
      <c r="H5" s="867"/>
    </row>
    <row r="7" spans="1:9" ht="17.25" customHeight="1">
      <c r="B7" s="868"/>
      <c r="C7" s="869" t="s">
        <v>204</v>
      </c>
      <c r="D7" s="869" t="s">
        <v>205</v>
      </c>
      <c r="E7" s="870" t="s">
        <v>736</v>
      </c>
      <c r="F7" s="871" t="s">
        <v>206</v>
      </c>
      <c r="G7" s="872" t="s">
        <v>207</v>
      </c>
      <c r="H7" s="873"/>
      <c r="I7" s="899"/>
    </row>
    <row r="8" spans="1:9" ht="17.25" customHeight="1">
      <c r="B8" s="900" t="s">
        <v>709</v>
      </c>
      <c r="C8" s="875" t="s">
        <v>208</v>
      </c>
      <c r="D8" s="875" t="s">
        <v>208</v>
      </c>
      <c r="E8" s="876" t="s">
        <v>209</v>
      </c>
      <c r="F8" s="877" t="s">
        <v>210</v>
      </c>
      <c r="G8" s="878" t="s">
        <v>211</v>
      </c>
      <c r="H8" s="873"/>
      <c r="I8" s="899"/>
    </row>
    <row r="9" spans="1:9" ht="17.25" customHeight="1">
      <c r="B9" s="879">
        <v>2005</v>
      </c>
      <c r="C9" s="901">
        <v>415</v>
      </c>
      <c r="D9" s="902">
        <v>377</v>
      </c>
      <c r="E9" s="903">
        <v>843</v>
      </c>
      <c r="F9" s="882">
        <v>91.3</v>
      </c>
      <c r="G9" s="883">
        <v>155.96</v>
      </c>
      <c r="H9" s="873"/>
      <c r="I9" s="899"/>
    </row>
    <row r="10" spans="1:9" ht="17.25" customHeight="1">
      <c r="B10" s="879">
        <v>2006</v>
      </c>
      <c r="C10" s="879">
        <v>415</v>
      </c>
      <c r="D10" s="884">
        <v>386</v>
      </c>
      <c r="E10" s="885">
        <v>954</v>
      </c>
      <c r="F10" s="882">
        <v>97.6</v>
      </c>
      <c r="G10" s="883">
        <v>276.60000000000002</v>
      </c>
      <c r="H10" s="873"/>
      <c r="I10" s="899"/>
    </row>
    <row r="11" spans="1:9" ht="17.25" customHeight="1">
      <c r="B11" s="879">
        <v>2007</v>
      </c>
      <c r="C11" s="879">
        <v>415</v>
      </c>
      <c r="D11" s="884">
        <v>380</v>
      </c>
      <c r="E11" s="885">
        <v>972</v>
      </c>
      <c r="F11" s="882">
        <v>95.8</v>
      </c>
      <c r="G11" s="883">
        <v>195.48</v>
      </c>
      <c r="H11" s="873"/>
      <c r="I11" s="899"/>
    </row>
    <row r="12" spans="1:9" ht="17.25" customHeight="1">
      <c r="B12" s="879">
        <v>2008</v>
      </c>
      <c r="C12" s="879">
        <v>415</v>
      </c>
      <c r="D12" s="884">
        <v>388</v>
      </c>
      <c r="E12" s="903">
        <v>1072</v>
      </c>
      <c r="F12" s="882">
        <v>96.028594694704069</v>
      </c>
      <c r="G12" s="883">
        <v>127.92695473251028</v>
      </c>
      <c r="H12" s="873"/>
      <c r="I12" s="899"/>
    </row>
    <row r="13" spans="1:9" ht="15" customHeight="1">
      <c r="B13" s="879">
        <v>2009</v>
      </c>
      <c r="C13" s="879">
        <v>415</v>
      </c>
      <c r="D13" s="884">
        <v>358</v>
      </c>
      <c r="E13" s="903">
        <v>1039</v>
      </c>
      <c r="F13" s="882">
        <v>91.2</v>
      </c>
      <c r="G13" s="883">
        <v>138.77000000000001</v>
      </c>
      <c r="H13" s="873"/>
      <c r="I13" s="899"/>
    </row>
    <row r="14" spans="1:9" ht="15" customHeight="1">
      <c r="B14" s="879">
        <v>2010</v>
      </c>
      <c r="C14" s="879">
        <v>415</v>
      </c>
      <c r="D14" s="884">
        <v>327</v>
      </c>
      <c r="E14" s="903">
        <v>909</v>
      </c>
      <c r="F14" s="882">
        <v>94.4</v>
      </c>
      <c r="G14" s="883">
        <v>95.23</v>
      </c>
      <c r="H14" s="873"/>
      <c r="I14" s="899"/>
    </row>
    <row r="15" spans="1:9" ht="15" customHeight="1">
      <c r="B15" s="879">
        <v>2011</v>
      </c>
      <c r="C15" s="879">
        <v>354</v>
      </c>
      <c r="D15" s="884">
        <v>320</v>
      </c>
      <c r="E15" s="903">
        <v>931</v>
      </c>
      <c r="F15" s="882">
        <v>95.278808501906596</v>
      </c>
      <c r="G15" s="883">
        <v>136.72073039742213</v>
      </c>
      <c r="H15" s="873"/>
      <c r="I15" s="899"/>
    </row>
    <row r="16" spans="1:9" ht="15" customHeight="1">
      <c r="B16" s="879">
        <v>2012</v>
      </c>
      <c r="C16" s="879">
        <v>354</v>
      </c>
      <c r="D16" s="884">
        <v>329</v>
      </c>
      <c r="E16" s="903">
        <v>1001</v>
      </c>
      <c r="F16" s="882">
        <v>92.909454061251665</v>
      </c>
      <c r="G16" s="883">
        <v>117.18181818181819</v>
      </c>
      <c r="H16" s="873"/>
      <c r="I16" s="899"/>
    </row>
    <row r="17" spans="2:9" ht="15" customHeight="1">
      <c r="B17" s="879">
        <v>2013</v>
      </c>
      <c r="C17" s="879">
        <v>354</v>
      </c>
      <c r="D17" s="1067">
        <v>320.61095890410957</v>
      </c>
      <c r="E17" s="903">
        <v>970</v>
      </c>
      <c r="F17" s="882">
        <v>94.783931363919919</v>
      </c>
      <c r="G17" s="883">
        <v>121.99072164948454</v>
      </c>
      <c r="H17" s="873"/>
      <c r="I17" s="899"/>
    </row>
    <row r="18" spans="2:9" ht="15" customHeight="1">
      <c r="B18" s="890">
        <f>+'91'!B18</f>
        <v>2014</v>
      </c>
      <c r="C18" s="906">
        <v>354</v>
      </c>
      <c r="D18" s="907">
        <f>+'90'!R12/365</f>
        <v>321.42465753424659</v>
      </c>
      <c r="E18" s="908">
        <f>+'90'!O12</f>
        <v>919</v>
      </c>
      <c r="F18" s="893">
        <f>+'90'!V12</f>
        <v>97.723320831912716</v>
      </c>
      <c r="G18" s="894">
        <f>+'90'!W12</f>
        <v>127.86289445048966</v>
      </c>
      <c r="H18" s="873"/>
      <c r="I18" s="899"/>
    </row>
    <row r="19" spans="2:9" ht="15" customHeight="1">
      <c r="B19" s="895"/>
      <c r="C19" s="895"/>
      <c r="D19" s="895"/>
      <c r="E19" s="881"/>
      <c r="F19" s="935"/>
      <c r="G19" s="896"/>
      <c r="H19" s="873"/>
      <c r="I19" s="899"/>
    </row>
    <row r="20" spans="2:9" ht="15" customHeight="1">
      <c r="B20" s="895"/>
      <c r="C20" s="895"/>
      <c r="D20" s="895"/>
      <c r="E20" s="881"/>
      <c r="F20" s="881"/>
      <c r="G20" s="896"/>
      <c r="H20" s="873"/>
      <c r="I20" s="899"/>
    </row>
    <row r="21" spans="2:9">
      <c r="B21" s="897"/>
      <c r="C21" s="897"/>
      <c r="D21" s="897"/>
      <c r="E21" s="873"/>
      <c r="F21" s="873"/>
      <c r="G21" s="873"/>
      <c r="H21" s="873"/>
      <c r="I21" s="899"/>
    </row>
    <row r="22" spans="2:9">
      <c r="B22" s="897"/>
      <c r="C22" s="897"/>
      <c r="D22" s="897"/>
      <c r="E22" s="873"/>
      <c r="F22" s="873"/>
      <c r="G22" s="873"/>
      <c r="H22" s="873"/>
      <c r="I22" s="899"/>
    </row>
    <row r="23" spans="2:9">
      <c r="B23" s="897"/>
      <c r="C23" s="897"/>
      <c r="D23" s="897"/>
      <c r="E23" s="897"/>
      <c r="F23" s="897"/>
      <c r="G23" s="897"/>
      <c r="H23" s="897"/>
      <c r="I23" s="899"/>
    </row>
    <row r="35" spans="2:7">
      <c r="B35" s="897"/>
      <c r="C35" s="897"/>
      <c r="D35" s="897"/>
      <c r="E35" s="873"/>
      <c r="F35" s="873"/>
      <c r="G35" s="873"/>
    </row>
    <row r="36" spans="2:7">
      <c r="B36" s="897"/>
      <c r="C36" s="897"/>
      <c r="D36" s="897"/>
      <c r="E36" s="873"/>
      <c r="F36" s="873"/>
      <c r="G36" s="873"/>
    </row>
    <row r="37" spans="2:7">
      <c r="B37" s="897"/>
      <c r="C37" s="897"/>
      <c r="D37" s="897"/>
      <c r="E37" s="873"/>
      <c r="F37" s="873"/>
      <c r="G37" s="873"/>
    </row>
    <row r="38" spans="2:7">
      <c r="B38" s="897"/>
      <c r="C38" s="897"/>
      <c r="D38" s="897"/>
      <c r="E38" s="897"/>
      <c r="F38" s="897"/>
      <c r="G38" s="897"/>
    </row>
    <row r="50" spans="2:7">
      <c r="B50" s="897"/>
      <c r="C50" s="897"/>
      <c r="D50" s="897"/>
      <c r="E50" s="873"/>
      <c r="F50" s="873"/>
      <c r="G50" s="873"/>
    </row>
    <row r="51" spans="2:7">
      <c r="B51" s="897"/>
      <c r="C51" s="897"/>
      <c r="D51" s="897"/>
      <c r="E51" s="873"/>
      <c r="F51" s="873"/>
      <c r="G51" s="873"/>
    </row>
    <row r="52" spans="2:7">
      <c r="B52" s="897"/>
      <c r="C52" s="897"/>
      <c r="D52" s="897"/>
      <c r="E52" s="873"/>
      <c r="F52" s="873"/>
      <c r="G52" s="873"/>
    </row>
    <row r="53" spans="2:7">
      <c r="B53" s="897"/>
      <c r="C53" s="897"/>
      <c r="D53" s="897"/>
      <c r="E53" s="897"/>
      <c r="F53" s="897"/>
      <c r="G53" s="897"/>
    </row>
  </sheetData>
  <phoneticPr fontId="57" type="noConversion"/>
  <pageMargins left="0.59055118110236227" right="0.59055118110236227" top="0.78740157480314965" bottom="0.78740157480314965" header="0.51181102362204722" footer="0.51181102362204722"/>
  <pageSetup paperSize="5" scale="95" orientation="portrait" horizontalDpi="300" verticalDpi="300" r:id="rId1"/>
  <headerFooter alignWithMargins="0"/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60"/>
  <sheetViews>
    <sheetView topLeftCell="A22" zoomScale="75" workbookViewId="0">
      <selection activeCell="H67" sqref="H67"/>
    </sheetView>
  </sheetViews>
  <sheetFormatPr baseColWidth="10" defaultRowHeight="12.75"/>
  <cols>
    <col min="1" max="1" width="9.42578125" style="939" customWidth="1"/>
    <col min="2" max="2" width="26.85546875" style="939" customWidth="1"/>
    <col min="3" max="3" width="10.28515625" style="939" customWidth="1"/>
    <col min="4" max="4" width="9.85546875" style="939" customWidth="1"/>
    <col min="5" max="5" width="9.7109375" style="939" customWidth="1"/>
    <col min="6" max="6" width="9.28515625" style="939" customWidth="1"/>
    <col min="7" max="7" width="10.140625" style="939" customWidth="1"/>
    <col min="8" max="8" width="9.5703125" style="939" customWidth="1"/>
    <col min="9" max="10" width="9.28515625" style="939" customWidth="1"/>
    <col min="11" max="12" width="9.7109375" style="939" customWidth="1"/>
    <col min="13" max="13" width="10" style="939" customWidth="1"/>
    <col min="14" max="14" width="9" style="939" customWidth="1"/>
    <col min="15" max="15" width="8.5703125" style="939" customWidth="1"/>
    <col min="16" max="16" width="9.140625" style="941" customWidth="1"/>
    <col min="17" max="16384" width="11.42578125" style="939"/>
  </cols>
  <sheetData>
    <row r="1" spans="1:16">
      <c r="A1" s="936" t="s">
        <v>217</v>
      </c>
      <c r="B1" s="936"/>
      <c r="C1" s="937"/>
      <c r="D1" s="937"/>
      <c r="E1" s="937"/>
      <c r="F1" s="937"/>
      <c r="G1" s="937"/>
      <c r="H1" s="937"/>
      <c r="I1" s="937"/>
      <c r="J1" s="937"/>
      <c r="K1" s="937"/>
      <c r="L1" s="937"/>
      <c r="M1" s="937"/>
      <c r="N1" s="937"/>
      <c r="O1" s="937"/>
      <c r="P1" s="938"/>
    </row>
    <row r="2" spans="1:16">
      <c r="A2" s="936"/>
      <c r="B2" s="936"/>
      <c r="C2" s="937"/>
      <c r="D2" s="937"/>
      <c r="E2" s="937"/>
      <c r="F2" s="937"/>
      <c r="G2" s="937"/>
      <c r="H2" s="937"/>
      <c r="I2" s="937"/>
      <c r="J2" s="937"/>
      <c r="K2" s="937"/>
      <c r="L2" s="937"/>
      <c r="M2" s="937"/>
      <c r="N2" s="937"/>
      <c r="O2" s="937"/>
      <c r="P2" s="938"/>
    </row>
    <row r="3" spans="1:16">
      <c r="A3" s="936" t="s">
        <v>1437</v>
      </c>
      <c r="B3" s="936"/>
      <c r="C3" s="937"/>
      <c r="D3" s="937"/>
      <c r="E3" s="937"/>
      <c r="F3" s="937"/>
      <c r="G3" s="937"/>
      <c r="H3" s="937"/>
      <c r="I3" s="937"/>
      <c r="J3" s="937"/>
      <c r="K3" s="937"/>
      <c r="L3" s="937"/>
      <c r="M3" s="937"/>
      <c r="N3" s="937"/>
      <c r="O3" s="937"/>
      <c r="P3" s="938"/>
    </row>
    <row r="4" spans="1:16">
      <c r="A4" s="936" t="s">
        <v>755</v>
      </c>
      <c r="B4" s="936"/>
      <c r="C4" s="937"/>
      <c r="D4" s="937"/>
      <c r="E4" s="937"/>
      <c r="F4" s="937"/>
      <c r="G4" s="937"/>
      <c r="H4" s="937"/>
      <c r="I4" s="937"/>
      <c r="J4" s="937"/>
      <c r="K4" s="937"/>
      <c r="L4" s="937"/>
      <c r="M4" s="937"/>
      <c r="N4" s="937"/>
      <c r="O4" s="937"/>
      <c r="P4" s="938"/>
    </row>
    <row r="5" spans="1:16">
      <c r="A5" s="940"/>
    </row>
    <row r="6" spans="1:16">
      <c r="A6" s="940"/>
    </row>
    <row r="7" spans="1:16" ht="18.75" customHeight="1">
      <c r="A7" s="942" t="s">
        <v>756</v>
      </c>
      <c r="B7" s="943"/>
      <c r="C7" s="944"/>
      <c r="D7" s="945" t="s">
        <v>757</v>
      </c>
      <c r="E7" s="945"/>
      <c r="F7" s="945"/>
      <c r="G7" s="945"/>
      <c r="H7" s="945"/>
      <c r="I7" s="945"/>
      <c r="J7" s="945"/>
      <c r="K7" s="945"/>
      <c r="L7" s="945"/>
      <c r="M7" s="945"/>
      <c r="N7" s="945"/>
      <c r="O7" s="945"/>
      <c r="P7" s="946"/>
    </row>
    <row r="8" spans="1:16" ht="23.25" customHeight="1">
      <c r="A8" s="947" t="s">
        <v>758</v>
      </c>
      <c r="B8" s="948" t="s">
        <v>759</v>
      </c>
      <c r="C8" s="949" t="s">
        <v>760</v>
      </c>
      <c r="D8" s="950" t="s">
        <v>699</v>
      </c>
      <c r="E8" s="951" t="s">
        <v>761</v>
      </c>
      <c r="F8" s="951" t="s">
        <v>762</v>
      </c>
      <c r="G8" s="951" t="s">
        <v>483</v>
      </c>
      <c r="H8" s="949" t="s">
        <v>763</v>
      </c>
      <c r="I8" s="951" t="s">
        <v>764</v>
      </c>
      <c r="J8" s="951" t="s">
        <v>445</v>
      </c>
      <c r="K8" s="951" t="s">
        <v>463</v>
      </c>
      <c r="L8" s="951" t="s">
        <v>468</v>
      </c>
      <c r="M8" s="951" t="s">
        <v>765</v>
      </c>
      <c r="N8" s="951" t="s">
        <v>470</v>
      </c>
      <c r="O8" s="951" t="s">
        <v>766</v>
      </c>
      <c r="P8" s="952" t="s">
        <v>571</v>
      </c>
    </row>
    <row r="9" spans="1:16">
      <c r="A9" s="953"/>
      <c r="B9" s="954"/>
      <c r="C9" s="943"/>
      <c r="D9" s="955"/>
      <c r="E9" s="955"/>
      <c r="F9" s="955"/>
      <c r="G9" s="955"/>
      <c r="H9" s="943"/>
      <c r="I9" s="955"/>
      <c r="J9" s="955"/>
      <c r="K9" s="955"/>
      <c r="L9" s="955"/>
      <c r="M9" s="955"/>
      <c r="N9" s="955"/>
      <c r="O9" s="955"/>
      <c r="P9" s="956"/>
    </row>
    <row r="10" spans="1:16" ht="18" customHeight="1">
      <c r="A10" s="957" t="s">
        <v>794</v>
      </c>
      <c r="B10" s="958" t="s">
        <v>795</v>
      </c>
      <c r="C10" s="959">
        <f>SUM(D10:G10)</f>
        <v>177</v>
      </c>
      <c r="D10" s="960">
        <f>+'100'!D10+'102'!D10+'104'!D10+'106'!D10+'108'!D10</f>
        <v>114</v>
      </c>
      <c r="E10" s="960">
        <f>+'100'!E10+'102'!E10+'104'!E10+'106'!E10+'108'!E10</f>
        <v>32</v>
      </c>
      <c r="F10" s="960">
        <f>+'100'!F10+'102'!F10+'104'!F10+'106'!F10+'108'!F10</f>
        <v>20</v>
      </c>
      <c r="G10" s="960">
        <f>+'100'!G10+'102'!G10+'104'!G10+'106'!G10+'108'!G10</f>
        <v>11</v>
      </c>
      <c r="H10" s="961">
        <f>SUM(I10:N10)</f>
        <v>246</v>
      </c>
      <c r="I10" s="960">
        <f>+'100'!I10+'102'!I10+'104'!I10+'106'!I10+'108'!I10</f>
        <v>121</v>
      </c>
      <c r="J10" s="960">
        <f>+'100'!J10+'102'!J10+'104'!J10+'106'!J10+'108'!J10</f>
        <v>27</v>
      </c>
      <c r="K10" s="960">
        <f>+'100'!K10+'102'!K10+'104'!K10+'106'!K10+'108'!K10</f>
        <v>25</v>
      </c>
      <c r="L10" s="960">
        <f>+'100'!L10+'102'!L10+'104'!L10+'106'!L10+'108'!L10</f>
        <v>4</v>
      </c>
      <c r="M10" s="960">
        <f>+'100'!M10+'102'!M10+'104'!M10+'106'!M10+'108'!M10</f>
        <v>46</v>
      </c>
      <c r="N10" s="960">
        <f>+'100'!N10+'102'!N10+'104'!N10+'106'!N10+'108'!N10</f>
        <v>23</v>
      </c>
      <c r="O10" s="960">
        <f>+'100'!O10+'102'!O10+'104'!O10+'106'!O10+'108'!O10</f>
        <v>7</v>
      </c>
      <c r="P10" s="962">
        <f>+O10+H10+C10</f>
        <v>430</v>
      </c>
    </row>
    <row r="11" spans="1:16" ht="20.25" customHeight="1">
      <c r="A11" s="957" t="s">
        <v>769</v>
      </c>
      <c r="B11" s="958" t="s">
        <v>770</v>
      </c>
      <c r="C11" s="959">
        <f t="shared" ref="C11:C27" si="0">SUM(D11:G11)</f>
        <v>512</v>
      </c>
      <c r="D11" s="960">
        <f>+'100'!D11+'102'!D11+'104'!D11+'106'!D11+'108'!D11</f>
        <v>311</v>
      </c>
      <c r="E11" s="960">
        <f>+'100'!E11+'102'!E11+'104'!E11+'106'!E11+'108'!E11</f>
        <v>86</v>
      </c>
      <c r="F11" s="960">
        <f>+'100'!F11+'102'!F11+'104'!F11+'106'!F11+'108'!F11</f>
        <v>60</v>
      </c>
      <c r="G11" s="960">
        <f>+'100'!G11+'102'!G11+'104'!G11+'106'!G11+'108'!G11</f>
        <v>55</v>
      </c>
      <c r="H11" s="961">
        <f t="shared" ref="H11:H27" si="1">SUM(I11:N11)</f>
        <v>851</v>
      </c>
      <c r="I11" s="960">
        <f>+'100'!I11+'102'!I11+'104'!I11+'106'!I11+'108'!I11</f>
        <v>453</v>
      </c>
      <c r="J11" s="960">
        <f>+'100'!J11+'102'!J11+'104'!J11+'106'!J11+'108'!J11</f>
        <v>101</v>
      </c>
      <c r="K11" s="960">
        <f>+'100'!K11+'102'!K11+'104'!K11+'106'!K11+'108'!K11</f>
        <v>67</v>
      </c>
      <c r="L11" s="960">
        <f>+'100'!L11+'102'!L11+'104'!L11+'106'!L11+'108'!L11</f>
        <v>55</v>
      </c>
      <c r="M11" s="960">
        <f>+'100'!M11+'102'!M11+'104'!M11+'106'!M11+'108'!M11</f>
        <v>102</v>
      </c>
      <c r="N11" s="960">
        <f>+'100'!N11+'102'!N11+'104'!N11+'106'!N11+'108'!N11</f>
        <v>73</v>
      </c>
      <c r="O11" s="960">
        <f>+'100'!O11+'102'!O11+'104'!O11+'106'!O11+'108'!O11</f>
        <v>7</v>
      </c>
      <c r="P11" s="962">
        <f t="shared" ref="P11:P27" si="2">+O11+H11+C11</f>
        <v>1370</v>
      </c>
    </row>
    <row r="12" spans="1:16" ht="19.5" customHeight="1">
      <c r="A12" s="957" t="s">
        <v>218</v>
      </c>
      <c r="B12" s="958" t="s">
        <v>219</v>
      </c>
      <c r="C12" s="959">
        <f t="shared" si="0"/>
        <v>57</v>
      </c>
      <c r="D12" s="960">
        <f>+'100'!D12+'102'!D12+'104'!D12+'106'!D12+'108'!D12</f>
        <v>50</v>
      </c>
      <c r="E12" s="960">
        <f>+'100'!E12+'102'!E12+'104'!E12+'106'!E12+'108'!E12</f>
        <v>2</v>
      </c>
      <c r="F12" s="960">
        <f>+'100'!F12+'102'!F12+'104'!F12+'106'!F12+'108'!F12</f>
        <v>5</v>
      </c>
      <c r="G12" s="960">
        <f>+'100'!G12+'102'!G12+'104'!G12+'106'!G12+'108'!G12</f>
        <v>0</v>
      </c>
      <c r="H12" s="961">
        <f t="shared" si="1"/>
        <v>124</v>
      </c>
      <c r="I12" s="960">
        <f>+'100'!I12+'102'!I12+'104'!I12+'106'!I12+'108'!I12</f>
        <v>61</v>
      </c>
      <c r="J12" s="960">
        <f>+'100'!J12+'102'!J12+'104'!J12+'106'!J12+'108'!J12</f>
        <v>21</v>
      </c>
      <c r="K12" s="960">
        <f>+'100'!K12+'102'!K12+'104'!K12+'106'!K12+'108'!K12</f>
        <v>6</v>
      </c>
      <c r="L12" s="960">
        <f>+'100'!L12+'102'!L12+'104'!L12+'106'!L12+'108'!L12</f>
        <v>6</v>
      </c>
      <c r="M12" s="960">
        <f>+'100'!M12+'102'!M12+'104'!M12+'106'!M12+'108'!M12</f>
        <v>27</v>
      </c>
      <c r="N12" s="960">
        <f>+'100'!N12+'102'!N12+'104'!N12+'106'!N12+'108'!N12</f>
        <v>3</v>
      </c>
      <c r="O12" s="960">
        <f>+'100'!O12+'102'!O12+'104'!O12+'106'!O12+'108'!O12</f>
        <v>2</v>
      </c>
      <c r="P12" s="962">
        <f t="shared" si="2"/>
        <v>183</v>
      </c>
    </row>
    <row r="13" spans="1:16" ht="20.25" customHeight="1">
      <c r="A13" s="957" t="s">
        <v>798</v>
      </c>
      <c r="B13" s="958" t="s">
        <v>799</v>
      </c>
      <c r="C13" s="959">
        <f t="shared" si="0"/>
        <v>195</v>
      </c>
      <c r="D13" s="960">
        <f>+'100'!D13+'102'!D13+'104'!D13+'106'!D13+'108'!D13</f>
        <v>131</v>
      </c>
      <c r="E13" s="960">
        <f>+'100'!E13+'102'!E13+'104'!E13+'106'!E13+'108'!E13</f>
        <v>31</v>
      </c>
      <c r="F13" s="960">
        <f>+'100'!F13+'102'!F13+'104'!F13+'106'!F13+'108'!F13</f>
        <v>18</v>
      </c>
      <c r="G13" s="960">
        <f>+'100'!G13+'102'!G13+'104'!G13+'106'!G13+'108'!G13</f>
        <v>15</v>
      </c>
      <c r="H13" s="961">
        <f t="shared" si="1"/>
        <v>453</v>
      </c>
      <c r="I13" s="960">
        <f>+'100'!I13+'102'!I13+'104'!I13+'106'!I13+'108'!I13</f>
        <v>202</v>
      </c>
      <c r="J13" s="960">
        <f>+'100'!J13+'102'!J13+'104'!J13+'106'!J13+'108'!J13</f>
        <v>76</v>
      </c>
      <c r="K13" s="960">
        <f>+'100'!K13+'102'!K13+'104'!K13+'106'!K13+'108'!K13</f>
        <v>35</v>
      </c>
      <c r="L13" s="960">
        <f>+'100'!L13+'102'!L13+'104'!L13+'106'!L13+'108'!L13</f>
        <v>17</v>
      </c>
      <c r="M13" s="960">
        <f>+'100'!M13+'102'!M13+'104'!M13+'106'!M13+'108'!M13</f>
        <v>85</v>
      </c>
      <c r="N13" s="960">
        <f>+'100'!N13+'102'!N13+'104'!N13+'106'!N13+'108'!N13</f>
        <v>38</v>
      </c>
      <c r="O13" s="960">
        <f>+'100'!O13+'102'!O13+'104'!O13+'106'!O13+'108'!O13</f>
        <v>51</v>
      </c>
      <c r="P13" s="962">
        <f t="shared" si="2"/>
        <v>699</v>
      </c>
    </row>
    <row r="14" spans="1:16" ht="19.5" customHeight="1">
      <c r="A14" s="957" t="s">
        <v>220</v>
      </c>
      <c r="B14" s="958" t="s">
        <v>221</v>
      </c>
      <c r="C14" s="959">
        <f t="shared" si="0"/>
        <v>189</v>
      </c>
      <c r="D14" s="960">
        <f>+'100'!D14+'102'!D14+'104'!D14+'106'!D14+'108'!D14</f>
        <v>142</v>
      </c>
      <c r="E14" s="960">
        <f>+'100'!E14+'102'!E14+'104'!E14+'106'!E14+'108'!E14</f>
        <v>25</v>
      </c>
      <c r="F14" s="960">
        <f>+'100'!F14+'102'!F14+'104'!F14+'106'!F14+'108'!F14</f>
        <v>15</v>
      </c>
      <c r="G14" s="960">
        <f>+'100'!G14+'102'!G14+'104'!G14+'106'!G14+'108'!G14</f>
        <v>7</v>
      </c>
      <c r="H14" s="961">
        <f t="shared" si="1"/>
        <v>526</v>
      </c>
      <c r="I14" s="960">
        <f>+'100'!I14+'102'!I14+'104'!I14+'106'!I14+'108'!I14</f>
        <v>241</v>
      </c>
      <c r="J14" s="960">
        <f>+'100'!J14+'102'!J14+'104'!J14+'106'!J14+'108'!J14</f>
        <v>159</v>
      </c>
      <c r="K14" s="960">
        <f>+'100'!K14+'102'!K14+'104'!K14+'106'!K14+'108'!K14</f>
        <v>4</v>
      </c>
      <c r="L14" s="960">
        <f>+'100'!L14+'102'!L14+'104'!L14+'106'!L14+'108'!L14</f>
        <v>36</v>
      </c>
      <c r="M14" s="960">
        <f>+'100'!M14+'102'!M14+'104'!M14+'106'!M14+'108'!M14</f>
        <v>66</v>
      </c>
      <c r="N14" s="960">
        <f>+'100'!N14+'102'!N14+'104'!N14+'106'!N14+'108'!N14</f>
        <v>20</v>
      </c>
      <c r="O14" s="960">
        <f>+'100'!O14+'102'!O14+'104'!O14+'106'!O14+'108'!O14</f>
        <v>402</v>
      </c>
      <c r="P14" s="962">
        <f t="shared" si="2"/>
        <v>1117</v>
      </c>
    </row>
    <row r="15" spans="1:16" ht="19.5" customHeight="1">
      <c r="A15" s="957" t="s">
        <v>222</v>
      </c>
      <c r="B15" s="958" t="s">
        <v>223</v>
      </c>
      <c r="C15" s="959">
        <f t="shared" si="0"/>
        <v>116</v>
      </c>
      <c r="D15" s="960">
        <f>+'100'!D15+'102'!D15+'104'!D15+'106'!D15+'108'!D15</f>
        <v>67</v>
      </c>
      <c r="E15" s="960">
        <f>+'100'!E15+'102'!E15+'104'!E15+'106'!E15+'108'!E15</f>
        <v>32</v>
      </c>
      <c r="F15" s="960">
        <f>+'100'!F15+'102'!F15+'104'!F15+'106'!F15+'108'!F15</f>
        <v>8</v>
      </c>
      <c r="G15" s="960">
        <f>+'100'!G15+'102'!G15+'104'!G15+'106'!G15+'108'!G15</f>
        <v>9</v>
      </c>
      <c r="H15" s="961">
        <f t="shared" si="1"/>
        <v>316</v>
      </c>
      <c r="I15" s="960">
        <f>+'100'!I15+'102'!I15+'104'!I15+'106'!I15+'108'!I15</f>
        <v>164</v>
      </c>
      <c r="J15" s="960">
        <f>+'100'!J15+'102'!J15+'104'!J15+'106'!J15+'108'!J15</f>
        <v>52</v>
      </c>
      <c r="K15" s="960">
        <f>+'100'!K15+'102'!K15+'104'!K15+'106'!K15+'108'!K15</f>
        <v>27</v>
      </c>
      <c r="L15" s="960">
        <f>+'100'!L15+'102'!L15+'104'!L15+'106'!L15+'108'!L15</f>
        <v>12</v>
      </c>
      <c r="M15" s="960">
        <f>+'100'!M15+'102'!M15+'104'!M15+'106'!M15+'108'!M15</f>
        <v>50</v>
      </c>
      <c r="N15" s="960">
        <f>+'100'!N15+'102'!N15+'104'!N15+'106'!N15+'108'!N15</f>
        <v>11</v>
      </c>
      <c r="O15" s="960">
        <f>+'100'!O15+'102'!O15+'104'!O15+'106'!O15+'108'!O15</f>
        <v>9</v>
      </c>
      <c r="P15" s="962">
        <f t="shared" si="2"/>
        <v>441</v>
      </c>
    </row>
    <row r="16" spans="1:16" ht="19.5" customHeight="1">
      <c r="A16" s="957" t="s">
        <v>224</v>
      </c>
      <c r="B16" s="958" t="s">
        <v>225</v>
      </c>
      <c r="C16" s="959">
        <f>SUM(D16:G16)</f>
        <v>41</v>
      </c>
      <c r="D16" s="960">
        <f>+'100'!D16+'102'!D16+'104'!D16+'106'!D16+'108'!D16</f>
        <v>28</v>
      </c>
      <c r="E16" s="960">
        <f>+'100'!E16+'102'!E16+'104'!E16+'106'!E16+'108'!E16</f>
        <v>3</v>
      </c>
      <c r="F16" s="960">
        <f>+'100'!F16+'102'!F16+'104'!F16+'106'!F16+'108'!F16</f>
        <v>4</v>
      </c>
      <c r="G16" s="960">
        <f>+'100'!G16+'102'!G16+'104'!G16+'106'!G16+'108'!G16</f>
        <v>6</v>
      </c>
      <c r="H16" s="961">
        <f>SUM(I16:N16)</f>
        <v>100</v>
      </c>
      <c r="I16" s="960">
        <f>+'100'!I16+'102'!I16+'104'!I16+'106'!I16+'108'!I16</f>
        <v>55</v>
      </c>
      <c r="J16" s="960">
        <f>+'100'!J16+'102'!J16+'104'!J16+'106'!J16+'108'!J16</f>
        <v>8</v>
      </c>
      <c r="K16" s="960">
        <f>+'100'!K16+'102'!K16+'104'!K16+'106'!K16+'108'!K16</f>
        <v>7</v>
      </c>
      <c r="L16" s="960">
        <f>+'100'!L16+'102'!L16+'104'!L16+'106'!L16+'108'!L16</f>
        <v>4</v>
      </c>
      <c r="M16" s="960">
        <f>+'100'!M16+'102'!M16+'104'!M16+'106'!M16+'108'!M16</f>
        <v>14</v>
      </c>
      <c r="N16" s="960">
        <f>+'100'!N16+'102'!N16+'104'!N16+'106'!N16+'108'!N16</f>
        <v>12</v>
      </c>
      <c r="O16" s="960">
        <f>+'100'!O16+'102'!O16+'104'!O16+'106'!O16+'108'!O16</f>
        <v>2</v>
      </c>
      <c r="P16" s="962">
        <f>+O16+H16+C16</f>
        <v>143</v>
      </c>
    </row>
    <row r="17" spans="1:16" ht="20.25" customHeight="1">
      <c r="A17" s="957" t="s">
        <v>767</v>
      </c>
      <c r="B17" s="958" t="s">
        <v>768</v>
      </c>
      <c r="C17" s="959">
        <f t="shared" si="0"/>
        <v>865</v>
      </c>
      <c r="D17" s="960">
        <f>+'100'!D17+'102'!D17+'104'!D17+'106'!D17+'108'!D17</f>
        <v>538</v>
      </c>
      <c r="E17" s="960">
        <f>+'100'!E17+'102'!E17+'104'!E17+'106'!E17+'108'!E17</f>
        <v>149</v>
      </c>
      <c r="F17" s="960">
        <f>+'100'!F17+'102'!F17+'104'!F17+'106'!F17+'108'!F17</f>
        <v>103</v>
      </c>
      <c r="G17" s="960">
        <f>+'100'!G17+'102'!G17+'104'!G17+'106'!G17+'108'!G17</f>
        <v>75</v>
      </c>
      <c r="H17" s="961">
        <f t="shared" si="1"/>
        <v>1414</v>
      </c>
      <c r="I17" s="960">
        <f>+'100'!I17+'102'!I17+'104'!I17+'106'!I17+'108'!I17</f>
        <v>673</v>
      </c>
      <c r="J17" s="960">
        <f>+'100'!J17+'102'!J17+'104'!J17+'106'!J17+'108'!J17</f>
        <v>182</v>
      </c>
      <c r="K17" s="960">
        <f>+'100'!K17+'102'!K17+'104'!K17+'106'!K17+'108'!K17</f>
        <v>125</v>
      </c>
      <c r="L17" s="960">
        <f>+'100'!L17+'102'!L17+'104'!L17+'106'!L17+'108'!L17</f>
        <v>79</v>
      </c>
      <c r="M17" s="960">
        <f>+'100'!M17+'102'!M17+'104'!M17+'106'!M17+'108'!M17</f>
        <v>247</v>
      </c>
      <c r="N17" s="960">
        <f>+'100'!N17+'102'!N17+'104'!N17+'106'!N17+'108'!N17</f>
        <v>108</v>
      </c>
      <c r="O17" s="960">
        <f>+'100'!O17+'102'!O17+'104'!O17+'106'!O17+'108'!O17</f>
        <v>46</v>
      </c>
      <c r="P17" s="962">
        <f t="shared" si="2"/>
        <v>2325</v>
      </c>
    </row>
    <row r="18" spans="1:16" ht="19.5" customHeight="1">
      <c r="A18" s="957" t="s">
        <v>771</v>
      </c>
      <c r="B18" s="958" t="s">
        <v>772</v>
      </c>
      <c r="C18" s="959">
        <f t="shared" si="0"/>
        <v>666</v>
      </c>
      <c r="D18" s="960">
        <f>+'100'!D18+'102'!D18+'104'!D18+'106'!D18+'108'!D18</f>
        <v>417</v>
      </c>
      <c r="E18" s="960">
        <f>+'100'!E18+'102'!E18+'104'!E18+'106'!E18+'108'!E18</f>
        <v>114</v>
      </c>
      <c r="F18" s="960">
        <f>+'100'!F18+'102'!F18+'104'!F18+'106'!F18+'108'!F18</f>
        <v>69</v>
      </c>
      <c r="G18" s="960">
        <f>+'100'!G18+'102'!G18+'104'!G18+'106'!G18+'108'!G18</f>
        <v>66</v>
      </c>
      <c r="H18" s="961">
        <f t="shared" si="1"/>
        <v>1608</v>
      </c>
      <c r="I18" s="960">
        <f>+'100'!I18+'102'!I18+'104'!I18+'106'!I18+'108'!I18</f>
        <v>568</v>
      </c>
      <c r="J18" s="960">
        <f>+'100'!J18+'102'!J18+'104'!J18+'106'!J18+'108'!J18</f>
        <v>196</v>
      </c>
      <c r="K18" s="960">
        <f>+'100'!K18+'102'!K18+'104'!K18+'106'!K18+'108'!K18</f>
        <v>106</v>
      </c>
      <c r="L18" s="960">
        <f>+'100'!L18+'102'!L18+'104'!L18+'106'!L18+'108'!L18</f>
        <v>58</v>
      </c>
      <c r="M18" s="960">
        <f>+'100'!M18+'102'!M18+'104'!M18+'106'!M18+'108'!M18</f>
        <v>455</v>
      </c>
      <c r="N18" s="960">
        <f>+'100'!N18+'102'!N18+'104'!N18+'106'!N18+'108'!N18</f>
        <v>225</v>
      </c>
      <c r="O18" s="960">
        <f>+'100'!O18+'102'!O18+'104'!O18+'106'!O18+'108'!O18</f>
        <v>26</v>
      </c>
      <c r="P18" s="962">
        <f t="shared" si="2"/>
        <v>2300</v>
      </c>
    </row>
    <row r="19" spans="1:16" ht="19.5" customHeight="1">
      <c r="A19" s="957" t="s">
        <v>790</v>
      </c>
      <c r="B19" s="958" t="s">
        <v>791</v>
      </c>
      <c r="C19" s="959">
        <f t="shared" si="0"/>
        <v>1416</v>
      </c>
      <c r="D19" s="960">
        <f>+'100'!D19+'102'!D19+'104'!D19+'106'!D19+'108'!D19</f>
        <v>844</v>
      </c>
      <c r="E19" s="960">
        <f>+'100'!E19+'102'!E19+'104'!E19+'106'!E19+'108'!E19</f>
        <v>247</v>
      </c>
      <c r="F19" s="960">
        <f>+'100'!F19+'102'!F19+'104'!F19+'106'!F19+'108'!F19</f>
        <v>173</v>
      </c>
      <c r="G19" s="960">
        <f>+'100'!G19+'102'!G19+'104'!G19+'106'!G19+'108'!G19</f>
        <v>152</v>
      </c>
      <c r="H19" s="961">
        <f t="shared" si="1"/>
        <v>2342</v>
      </c>
      <c r="I19" s="960">
        <f>+'100'!I19+'102'!I19+'104'!I19+'106'!I19+'108'!I19</f>
        <v>1158</v>
      </c>
      <c r="J19" s="960">
        <f>+'100'!J19+'102'!J19+'104'!J19+'106'!J19+'108'!J19</f>
        <v>293</v>
      </c>
      <c r="K19" s="960">
        <f>+'100'!K19+'102'!K19+'104'!K19+'106'!K19+'108'!K19</f>
        <v>228</v>
      </c>
      <c r="L19" s="960">
        <f>+'100'!L19+'102'!L19+'104'!L19+'106'!L19+'108'!L19</f>
        <v>93</v>
      </c>
      <c r="M19" s="960">
        <f>+'100'!M19+'102'!M19+'104'!M19+'106'!M19+'108'!M19</f>
        <v>363</v>
      </c>
      <c r="N19" s="960">
        <f>+'100'!N19+'102'!N19+'104'!N19+'106'!N19+'108'!N19</f>
        <v>207</v>
      </c>
      <c r="O19" s="960">
        <f>+'100'!O19+'102'!O19+'104'!O19+'106'!O19+'108'!O19</f>
        <v>74</v>
      </c>
      <c r="P19" s="962">
        <f t="shared" si="2"/>
        <v>3832</v>
      </c>
    </row>
    <row r="20" spans="1:16" ht="18.75" customHeight="1">
      <c r="A20" s="957" t="s">
        <v>226</v>
      </c>
      <c r="B20" s="958" t="s">
        <v>227</v>
      </c>
      <c r="C20" s="959">
        <f t="shared" si="0"/>
        <v>98</v>
      </c>
      <c r="D20" s="960">
        <f>+'100'!D20+'102'!D20+'104'!D20+'106'!D20+'108'!D20</f>
        <v>63</v>
      </c>
      <c r="E20" s="960">
        <f>+'100'!E20+'102'!E20+'104'!E20+'106'!E20+'108'!E20</f>
        <v>12</v>
      </c>
      <c r="F20" s="960">
        <f>+'100'!F20+'102'!F20+'104'!F20+'106'!F20+'108'!F20</f>
        <v>12</v>
      </c>
      <c r="G20" s="960">
        <f>+'100'!G20+'102'!G20+'104'!G20+'106'!G20+'108'!G20</f>
        <v>11</v>
      </c>
      <c r="H20" s="961">
        <f t="shared" si="1"/>
        <v>202</v>
      </c>
      <c r="I20" s="960">
        <f>+'100'!I20+'102'!I20+'104'!I20+'106'!I20+'108'!I20</f>
        <v>60</v>
      </c>
      <c r="J20" s="960">
        <f>+'100'!J20+'102'!J20+'104'!J20+'106'!J20+'108'!J20</f>
        <v>27</v>
      </c>
      <c r="K20" s="960">
        <f>+'100'!K20+'102'!K20+'104'!K20+'106'!K20+'108'!K20</f>
        <v>16</v>
      </c>
      <c r="L20" s="960">
        <f>+'100'!L20+'102'!L20+'104'!L20+'106'!L20+'108'!L20</f>
        <v>15</v>
      </c>
      <c r="M20" s="960">
        <f>+'100'!M20+'102'!M20+'104'!M20+'106'!M20+'108'!M20</f>
        <v>61</v>
      </c>
      <c r="N20" s="960">
        <f>+'100'!N20+'102'!N20+'104'!N20+'106'!N20+'108'!N20</f>
        <v>23</v>
      </c>
      <c r="O20" s="960">
        <f>+'100'!O20+'102'!O20+'104'!O20+'106'!O20+'108'!O20</f>
        <v>14</v>
      </c>
      <c r="P20" s="962">
        <f t="shared" si="2"/>
        <v>314</v>
      </c>
    </row>
    <row r="21" spans="1:16" ht="19.5" customHeight="1">
      <c r="A21" s="957" t="s">
        <v>228</v>
      </c>
      <c r="B21" s="958" t="s">
        <v>229</v>
      </c>
      <c r="C21" s="959">
        <f t="shared" si="0"/>
        <v>381</v>
      </c>
      <c r="D21" s="960">
        <f>+'100'!D21+'102'!D21+'104'!D21+'106'!D21+'108'!D21</f>
        <v>225</v>
      </c>
      <c r="E21" s="960">
        <f>+'100'!E21+'102'!E21+'104'!E21+'106'!E21+'108'!E21</f>
        <v>84</v>
      </c>
      <c r="F21" s="960">
        <f>+'100'!F21+'102'!F21+'104'!F21+'106'!F21+'108'!F21</f>
        <v>41</v>
      </c>
      <c r="G21" s="960">
        <f>+'100'!G21+'102'!G21+'104'!G21+'106'!G21+'108'!G21</f>
        <v>31</v>
      </c>
      <c r="H21" s="961">
        <f t="shared" si="1"/>
        <v>477</v>
      </c>
      <c r="I21" s="960">
        <f>+'100'!I21+'102'!I21+'104'!I21+'106'!I21+'108'!I21</f>
        <v>219</v>
      </c>
      <c r="J21" s="960">
        <f>+'100'!J21+'102'!J21+'104'!J21+'106'!J21+'108'!J21</f>
        <v>87</v>
      </c>
      <c r="K21" s="960">
        <f>+'100'!K21+'102'!K21+'104'!K21+'106'!K21+'108'!K21</f>
        <v>47</v>
      </c>
      <c r="L21" s="960">
        <f>+'100'!L21+'102'!L21+'104'!L21+'106'!L21+'108'!L21</f>
        <v>21</v>
      </c>
      <c r="M21" s="960">
        <f>+'100'!M21+'102'!M21+'104'!M21+'106'!M21+'108'!M21</f>
        <v>61</v>
      </c>
      <c r="N21" s="960">
        <f>+'100'!N21+'102'!N21+'104'!N21+'106'!N21+'108'!N21</f>
        <v>42</v>
      </c>
      <c r="O21" s="960">
        <f>+'100'!O21+'102'!O21+'104'!O21+'106'!O21+'108'!O21</f>
        <v>6</v>
      </c>
      <c r="P21" s="962">
        <f t="shared" si="2"/>
        <v>864</v>
      </c>
    </row>
    <row r="22" spans="1:16" ht="19.5" customHeight="1">
      <c r="A22" s="957" t="s">
        <v>792</v>
      </c>
      <c r="B22" s="958" t="s">
        <v>793</v>
      </c>
      <c r="C22" s="959">
        <f t="shared" si="0"/>
        <v>835</v>
      </c>
      <c r="D22" s="960">
        <f>+'100'!D22+'102'!D22+'104'!D22+'106'!D22+'108'!D22</f>
        <v>550</v>
      </c>
      <c r="E22" s="960">
        <f>+'100'!E22+'102'!E22+'104'!E22+'106'!E22+'108'!E22</f>
        <v>140</v>
      </c>
      <c r="F22" s="960">
        <f>+'100'!F22+'102'!F22+'104'!F22+'106'!F22+'108'!F22</f>
        <v>81</v>
      </c>
      <c r="G22" s="960">
        <f>+'100'!G22+'102'!G22+'104'!G22+'106'!G22+'108'!G22</f>
        <v>64</v>
      </c>
      <c r="H22" s="961">
        <f t="shared" si="1"/>
        <v>1454</v>
      </c>
      <c r="I22" s="960">
        <f>+'100'!I22+'102'!I22+'104'!I22+'106'!I22+'108'!I22</f>
        <v>705</v>
      </c>
      <c r="J22" s="960">
        <f>+'100'!J22+'102'!J22+'104'!J22+'106'!J22+'108'!J22</f>
        <v>177</v>
      </c>
      <c r="K22" s="960">
        <f>+'100'!K22+'102'!K22+'104'!K22+'106'!K22+'108'!K22</f>
        <v>139</v>
      </c>
      <c r="L22" s="960">
        <f>+'100'!L22+'102'!L22+'104'!L22+'106'!L22+'108'!L22</f>
        <v>44</v>
      </c>
      <c r="M22" s="960">
        <f>+'100'!M22+'102'!M22+'104'!M22+'106'!M22+'108'!M22</f>
        <v>253</v>
      </c>
      <c r="N22" s="960">
        <f>+'100'!N22+'102'!N22+'104'!N22+'106'!N22+'108'!N22</f>
        <v>136</v>
      </c>
      <c r="O22" s="960">
        <f>+'100'!O22+'102'!O22+'104'!O22+'106'!O22+'108'!O22</f>
        <v>47</v>
      </c>
      <c r="P22" s="962">
        <f t="shared" si="2"/>
        <v>2336</v>
      </c>
    </row>
    <row r="23" spans="1:16" ht="18.75" customHeight="1">
      <c r="A23" s="957" t="s">
        <v>230</v>
      </c>
      <c r="B23" s="958" t="s">
        <v>231</v>
      </c>
      <c r="C23" s="959">
        <f t="shared" si="0"/>
        <v>2076</v>
      </c>
      <c r="D23" s="960">
        <f>+'100'!D23+'102'!D23+'104'!D23+'106'!D23+'108'!D23</f>
        <v>1360</v>
      </c>
      <c r="E23" s="960">
        <f>+'100'!E23+'102'!E23+'104'!E23+'106'!E23+'108'!E23</f>
        <v>338</v>
      </c>
      <c r="F23" s="960">
        <f>+'100'!F23+'102'!F23+'104'!F23+'106'!F23+'108'!F23</f>
        <v>208</v>
      </c>
      <c r="G23" s="960">
        <f>+'100'!G23+'102'!G23+'104'!G23+'106'!G23+'108'!G23</f>
        <v>170</v>
      </c>
      <c r="H23" s="961">
        <f t="shared" si="1"/>
        <v>2881</v>
      </c>
      <c r="I23" s="960">
        <f>+'100'!I23+'102'!I23+'104'!I23+'106'!I23+'108'!I23</f>
        <v>1494</v>
      </c>
      <c r="J23" s="960">
        <f>+'100'!J23+'102'!J23+'104'!J23+'106'!J23+'108'!J23</f>
        <v>259</v>
      </c>
      <c r="K23" s="960">
        <f>+'100'!K23+'102'!K23+'104'!K23+'106'!K23+'108'!K23</f>
        <v>254</v>
      </c>
      <c r="L23" s="960">
        <f>+'100'!L23+'102'!L23+'104'!L23+'106'!L23+'108'!L23</f>
        <v>144</v>
      </c>
      <c r="M23" s="960">
        <f>+'100'!M23+'102'!M23+'104'!M23+'106'!M23+'108'!M23</f>
        <v>477</v>
      </c>
      <c r="N23" s="960">
        <f>+'100'!N23+'102'!N23+'104'!N23+'106'!N23+'108'!N23</f>
        <v>253</v>
      </c>
      <c r="O23" s="960">
        <f>+'100'!O23+'102'!O23+'104'!O23+'106'!O23+'108'!O23</f>
        <v>45</v>
      </c>
      <c r="P23" s="962">
        <f t="shared" si="2"/>
        <v>5002</v>
      </c>
    </row>
    <row r="24" spans="1:16" ht="19.5" customHeight="1">
      <c r="A24" s="957" t="s">
        <v>800</v>
      </c>
      <c r="B24" s="958" t="s">
        <v>801</v>
      </c>
      <c r="C24" s="959">
        <f t="shared" si="0"/>
        <v>362</v>
      </c>
      <c r="D24" s="960">
        <f>+'100'!D24+'102'!D24+'104'!D24+'106'!D24+'108'!D24</f>
        <v>249</v>
      </c>
      <c r="E24" s="960">
        <f>+'100'!E24+'102'!E24+'104'!E24+'106'!E24+'108'!E24</f>
        <v>64</v>
      </c>
      <c r="F24" s="960">
        <f>+'100'!F24+'102'!F24+'104'!F24+'106'!F24+'108'!F24</f>
        <v>12</v>
      </c>
      <c r="G24" s="960">
        <f>+'100'!G24+'102'!G24+'104'!G24+'106'!G24+'108'!G24</f>
        <v>37</v>
      </c>
      <c r="H24" s="961">
        <f t="shared" si="1"/>
        <v>268</v>
      </c>
      <c r="I24" s="960">
        <f>+'100'!I24+'102'!I24+'104'!I24+'106'!I24+'108'!I24</f>
        <v>143</v>
      </c>
      <c r="J24" s="960">
        <f>+'100'!J24+'102'!J24+'104'!J24+'106'!J24+'108'!J24</f>
        <v>19</v>
      </c>
      <c r="K24" s="960">
        <f>+'100'!K24+'102'!K24+'104'!K24+'106'!K24+'108'!K24</f>
        <v>22</v>
      </c>
      <c r="L24" s="960">
        <f>+'100'!L24+'102'!L24+'104'!L24+'106'!L24+'108'!L24</f>
        <v>8</v>
      </c>
      <c r="M24" s="960">
        <f>+'100'!M24+'102'!M24+'104'!M24+'106'!M24+'108'!M24</f>
        <v>56</v>
      </c>
      <c r="N24" s="960">
        <f>+'100'!N24+'102'!N24+'104'!N24+'106'!N24+'108'!N24</f>
        <v>20</v>
      </c>
      <c r="O24" s="960">
        <f>+'100'!O24+'102'!O24+'104'!O24+'106'!O24+'108'!O24</f>
        <v>9</v>
      </c>
      <c r="P24" s="962">
        <f t="shared" si="2"/>
        <v>639</v>
      </c>
    </row>
    <row r="25" spans="1:16" ht="20.25" customHeight="1">
      <c r="A25" s="957" t="s">
        <v>802</v>
      </c>
      <c r="B25" s="958" t="s">
        <v>803</v>
      </c>
      <c r="C25" s="959">
        <f t="shared" si="0"/>
        <v>90</v>
      </c>
      <c r="D25" s="960">
        <f>+'100'!D25+'102'!D25+'104'!D25+'106'!D25+'108'!D25</f>
        <v>53</v>
      </c>
      <c r="E25" s="960">
        <f>+'100'!E25+'102'!E25+'104'!E25+'106'!E25+'108'!E25</f>
        <v>14</v>
      </c>
      <c r="F25" s="960">
        <f>+'100'!F25+'102'!F25+'104'!F25+'106'!F25+'108'!F25</f>
        <v>11</v>
      </c>
      <c r="G25" s="960">
        <f>+'100'!G25+'102'!G25+'104'!G25+'106'!G25+'108'!G25</f>
        <v>12</v>
      </c>
      <c r="H25" s="961">
        <f t="shared" si="1"/>
        <v>146</v>
      </c>
      <c r="I25" s="960">
        <f>+'100'!I25+'102'!I25+'104'!I25+'106'!I25+'108'!I25</f>
        <v>69</v>
      </c>
      <c r="J25" s="960">
        <f>+'100'!J25+'102'!J25+'104'!J25+'106'!J25+'108'!J25</f>
        <v>11</v>
      </c>
      <c r="K25" s="960">
        <f>+'100'!K25+'102'!K25+'104'!K25+'106'!K25+'108'!K25</f>
        <v>12</v>
      </c>
      <c r="L25" s="960">
        <f>+'100'!L25+'102'!L25+'104'!L25+'106'!L25+'108'!L25</f>
        <v>15</v>
      </c>
      <c r="M25" s="960">
        <f>+'100'!M25+'102'!M25+'104'!M25+'106'!M25+'108'!M25</f>
        <v>29</v>
      </c>
      <c r="N25" s="960">
        <f>+'100'!N25+'102'!N25+'104'!N25+'106'!N25+'108'!N25</f>
        <v>10</v>
      </c>
      <c r="O25" s="960">
        <f>+'100'!O25+'102'!O25+'104'!O25+'106'!O25+'108'!O25</f>
        <v>3</v>
      </c>
      <c r="P25" s="962">
        <f t="shared" si="2"/>
        <v>239</v>
      </c>
    </row>
    <row r="26" spans="1:16" ht="21.75" customHeight="1">
      <c r="A26" s="957" t="s">
        <v>796</v>
      </c>
      <c r="B26" s="958" t="s">
        <v>817</v>
      </c>
      <c r="C26" s="959">
        <f t="shared" si="0"/>
        <v>139</v>
      </c>
      <c r="D26" s="960">
        <f>+'100'!D26+'102'!D26+'104'!D26+'106'!D26+'108'!D26</f>
        <v>90</v>
      </c>
      <c r="E26" s="960">
        <f>+'100'!E26+'102'!E26+'104'!E26+'106'!E26+'108'!E26</f>
        <v>19</v>
      </c>
      <c r="F26" s="960">
        <f>+'100'!F26+'102'!F26+'104'!F26+'106'!F26+'108'!F26</f>
        <v>23</v>
      </c>
      <c r="G26" s="960">
        <f>+'100'!G26+'102'!G26+'104'!G26+'106'!G26+'108'!G26</f>
        <v>7</v>
      </c>
      <c r="H26" s="961">
        <f t="shared" si="1"/>
        <v>110</v>
      </c>
      <c r="I26" s="960">
        <f>+'100'!I26+'102'!I26+'104'!I26+'106'!I26+'108'!I26</f>
        <v>16</v>
      </c>
      <c r="J26" s="960">
        <f>+'100'!J26+'102'!J26+'104'!J26+'106'!J26+'108'!J26</f>
        <v>36</v>
      </c>
      <c r="K26" s="960">
        <f>+'100'!K26+'102'!K26+'104'!K26+'106'!K26+'108'!K26</f>
        <v>5</v>
      </c>
      <c r="L26" s="960">
        <f>+'100'!L26+'102'!L26+'104'!L26+'106'!L26+'108'!L26</f>
        <v>1</v>
      </c>
      <c r="M26" s="960">
        <f>+'100'!M26+'102'!M26+'104'!M26+'106'!M26+'108'!M26</f>
        <v>38</v>
      </c>
      <c r="N26" s="960">
        <f>+'100'!N26+'102'!N26+'104'!N26+'106'!N26+'108'!N26</f>
        <v>14</v>
      </c>
      <c r="O26" s="960">
        <f>+'100'!O26+'102'!O26+'104'!O26+'106'!O26+'108'!O26</f>
        <v>3</v>
      </c>
      <c r="P26" s="962">
        <f t="shared" si="2"/>
        <v>252</v>
      </c>
    </row>
    <row r="27" spans="1:16" ht="27.75" customHeight="1">
      <c r="A27" s="957" t="s">
        <v>788</v>
      </c>
      <c r="B27" s="963" t="s">
        <v>232</v>
      </c>
      <c r="C27" s="959">
        <f t="shared" si="0"/>
        <v>777</v>
      </c>
      <c r="D27" s="960">
        <f>+'100'!D27+'102'!D27+'104'!D27+'106'!D27+'108'!D27</f>
        <v>471</v>
      </c>
      <c r="E27" s="960">
        <f>+'100'!E27+'102'!E27+'104'!E27+'106'!E27+'108'!E27</f>
        <v>144</v>
      </c>
      <c r="F27" s="960">
        <f>+'100'!F27+'102'!F27+'104'!F27+'106'!F27+'108'!F27</f>
        <v>89</v>
      </c>
      <c r="G27" s="960">
        <f>+'100'!G27+'102'!G27+'104'!G27+'106'!G27+'108'!G27</f>
        <v>73</v>
      </c>
      <c r="H27" s="961">
        <f t="shared" si="1"/>
        <v>1299</v>
      </c>
      <c r="I27" s="960">
        <f>+'100'!I27+'102'!I27+'104'!I27+'106'!I27+'108'!I27</f>
        <v>582</v>
      </c>
      <c r="J27" s="960">
        <f>+'100'!J27+'102'!J27+'104'!J27+'106'!J27+'108'!J27</f>
        <v>161</v>
      </c>
      <c r="K27" s="960">
        <f>+'100'!K27+'102'!K27+'104'!K27+'106'!K27+'108'!K27</f>
        <v>120</v>
      </c>
      <c r="L27" s="960">
        <f>+'100'!L27+'102'!L27+'104'!L27+'106'!L27+'108'!L27</f>
        <v>58</v>
      </c>
      <c r="M27" s="960">
        <f>+'100'!M27+'102'!M27+'104'!M27+'106'!M27+'108'!M27</f>
        <v>251</v>
      </c>
      <c r="N27" s="960">
        <f>+'100'!N27+'102'!N27+'104'!N27+'106'!N27+'108'!N27</f>
        <v>127</v>
      </c>
      <c r="O27" s="960">
        <f>+'100'!O27+'102'!O27+'104'!O27+'106'!O27+'108'!O27</f>
        <v>64</v>
      </c>
      <c r="P27" s="962">
        <f t="shared" si="2"/>
        <v>2140</v>
      </c>
    </row>
    <row r="28" spans="1:16" ht="21.75" customHeight="1">
      <c r="A28" s="964"/>
      <c r="B28" s="964" t="s">
        <v>923</v>
      </c>
      <c r="C28" s="965">
        <f>SUM(C10:C27)</f>
        <v>8992</v>
      </c>
      <c r="D28" s="966">
        <f t="shared" ref="D28:P28" si="3">SUM(D10:D27)</f>
        <v>5703</v>
      </c>
      <c r="E28" s="966">
        <f t="shared" si="3"/>
        <v>1536</v>
      </c>
      <c r="F28" s="966">
        <f t="shared" si="3"/>
        <v>952</v>
      </c>
      <c r="G28" s="966">
        <f t="shared" si="3"/>
        <v>801</v>
      </c>
      <c r="H28" s="967">
        <f t="shared" si="3"/>
        <v>14817</v>
      </c>
      <c r="I28" s="966">
        <f t="shared" si="3"/>
        <v>6984</v>
      </c>
      <c r="J28" s="966">
        <f t="shared" si="3"/>
        <v>1892</v>
      </c>
      <c r="K28" s="966">
        <f t="shared" si="3"/>
        <v>1245</v>
      </c>
      <c r="L28" s="966">
        <f t="shared" si="3"/>
        <v>670</v>
      </c>
      <c r="M28" s="966">
        <f t="shared" si="3"/>
        <v>2681</v>
      </c>
      <c r="N28" s="966">
        <f t="shared" si="3"/>
        <v>1345</v>
      </c>
      <c r="O28" s="966">
        <f t="shared" si="3"/>
        <v>817</v>
      </c>
      <c r="P28" s="968">
        <f t="shared" si="3"/>
        <v>24626</v>
      </c>
    </row>
    <row r="29" spans="1:16" ht="21.75" customHeight="1">
      <c r="A29" s="969"/>
      <c r="B29" s="969"/>
      <c r="C29" s="969"/>
      <c r="D29" s="970"/>
      <c r="E29" s="970"/>
      <c r="F29" s="970"/>
      <c r="G29" s="970"/>
      <c r="H29" s="970"/>
      <c r="I29" s="970"/>
      <c r="J29" s="970"/>
      <c r="K29" s="970"/>
      <c r="L29" s="970"/>
      <c r="M29" s="970"/>
      <c r="N29" s="970"/>
      <c r="O29" s="970"/>
      <c r="P29" s="971"/>
    </row>
    <row r="30" spans="1:16" ht="21.75" customHeight="1">
      <c r="A30" s="969"/>
      <c r="B30" s="969"/>
      <c r="C30" s="969"/>
      <c r="D30" s="970"/>
      <c r="E30" s="970"/>
      <c r="F30" s="970"/>
      <c r="G30" s="970"/>
      <c r="H30" s="970"/>
      <c r="I30" s="970"/>
      <c r="J30" s="970"/>
      <c r="K30" s="970"/>
      <c r="L30" s="970"/>
      <c r="M30" s="970"/>
      <c r="N30" s="970"/>
      <c r="O30" s="970"/>
      <c r="P30" s="971"/>
    </row>
    <row r="31" spans="1:16" ht="21.75" customHeight="1">
      <c r="A31" s="969"/>
      <c r="B31" s="969"/>
      <c r="C31" s="969"/>
      <c r="D31" s="970"/>
      <c r="E31" s="970"/>
      <c r="F31" s="970"/>
      <c r="G31" s="970"/>
      <c r="H31" s="970"/>
      <c r="I31" s="970"/>
      <c r="J31" s="970"/>
      <c r="K31" s="970"/>
      <c r="L31" s="970"/>
      <c r="M31" s="970"/>
      <c r="N31" s="970"/>
      <c r="O31" s="970"/>
      <c r="P31" s="971"/>
    </row>
    <row r="32" spans="1:16" ht="15.75" customHeight="1">
      <c r="A32" s="969"/>
      <c r="B32" s="969"/>
      <c r="C32" s="969"/>
      <c r="D32" s="970"/>
      <c r="E32" s="970"/>
      <c r="F32" s="970"/>
      <c r="G32" s="970"/>
      <c r="H32" s="970"/>
      <c r="I32" s="970"/>
      <c r="J32" s="970"/>
      <c r="K32" s="970"/>
      <c r="L32" s="970"/>
      <c r="M32" s="970"/>
      <c r="N32" s="970"/>
      <c r="O32" s="970"/>
      <c r="P32" s="971"/>
    </row>
    <row r="33" spans="1:16" ht="18.75" customHeight="1">
      <c r="A33" s="936" t="s">
        <v>233</v>
      </c>
      <c r="B33" s="972"/>
      <c r="C33" s="973"/>
      <c r="D33" s="973"/>
      <c r="E33" s="973"/>
      <c r="F33" s="973"/>
      <c r="G33" s="973"/>
      <c r="H33" s="973"/>
      <c r="I33" s="973"/>
      <c r="J33" s="973"/>
      <c r="K33" s="973"/>
      <c r="L33" s="973"/>
      <c r="M33" s="973"/>
      <c r="N33" s="973"/>
      <c r="O33" s="973"/>
      <c r="P33" s="974"/>
    </row>
    <row r="34" spans="1:16">
      <c r="A34" s="936"/>
      <c r="B34" s="975"/>
      <c r="C34" s="976"/>
      <c r="D34" s="976"/>
      <c r="E34" s="976"/>
      <c r="F34" s="976"/>
      <c r="G34" s="976"/>
      <c r="H34" s="976"/>
      <c r="I34" s="976"/>
      <c r="J34" s="976"/>
      <c r="K34" s="976"/>
      <c r="L34" s="976"/>
      <c r="M34" s="976"/>
      <c r="N34" s="976"/>
      <c r="O34" s="976"/>
      <c r="P34" s="977"/>
    </row>
    <row r="35" spans="1:16">
      <c r="A35" s="936" t="str">
        <f>+A3</f>
        <v>SERVICIO DE SALUD   ACONCAGUA   2014</v>
      </c>
      <c r="B35" s="975"/>
      <c r="C35" s="976"/>
      <c r="D35" s="976"/>
      <c r="E35" s="976"/>
      <c r="F35" s="976"/>
      <c r="G35" s="976"/>
      <c r="H35" s="976"/>
      <c r="I35" s="976"/>
      <c r="J35" s="976"/>
      <c r="K35" s="976"/>
      <c r="L35" s="976"/>
      <c r="M35" s="976"/>
      <c r="N35" s="976"/>
      <c r="O35" s="976"/>
      <c r="P35" s="977"/>
    </row>
    <row r="36" spans="1:16">
      <c r="A36" s="936" t="s">
        <v>755</v>
      </c>
      <c r="B36" s="975"/>
      <c r="C36" s="976"/>
      <c r="D36" s="976"/>
      <c r="E36" s="976"/>
      <c r="F36" s="976"/>
      <c r="G36" s="976"/>
      <c r="H36" s="976"/>
      <c r="I36" s="976"/>
      <c r="J36" s="976"/>
      <c r="K36" s="976"/>
      <c r="L36" s="976"/>
      <c r="M36" s="976"/>
      <c r="N36" s="976"/>
      <c r="O36" s="976"/>
      <c r="P36" s="977"/>
    </row>
    <row r="37" spans="1:16">
      <c r="A37" s="976"/>
      <c r="B37" s="976"/>
      <c r="C37" s="976"/>
      <c r="D37" s="976"/>
      <c r="E37" s="976"/>
      <c r="F37" s="976"/>
      <c r="G37" s="976"/>
      <c r="H37" s="976"/>
      <c r="I37" s="976"/>
      <c r="J37" s="976"/>
      <c r="K37" s="976"/>
      <c r="L37" s="976"/>
      <c r="M37" s="976"/>
      <c r="N37" s="976"/>
      <c r="O37" s="976"/>
      <c r="P37" s="977"/>
    </row>
    <row r="38" spans="1:16">
      <c r="A38" s="978"/>
      <c r="B38" s="978"/>
      <c r="C38" s="978"/>
      <c r="D38" s="978"/>
      <c r="E38" s="978"/>
      <c r="F38" s="978"/>
      <c r="G38" s="978"/>
      <c r="H38" s="978"/>
      <c r="I38" s="978"/>
      <c r="J38" s="978"/>
      <c r="K38" s="978"/>
      <c r="L38" s="978"/>
      <c r="M38" s="978"/>
      <c r="N38" s="978"/>
      <c r="O38" s="978"/>
      <c r="P38" s="977"/>
    </row>
    <row r="39" spans="1:16" ht="21.75" customHeight="1">
      <c r="A39" s="942" t="s">
        <v>756</v>
      </c>
      <c r="B39" s="943"/>
      <c r="C39" s="945" t="s">
        <v>805</v>
      </c>
      <c r="D39" s="945"/>
      <c r="E39" s="945"/>
      <c r="F39" s="945"/>
      <c r="G39" s="945"/>
      <c r="H39" s="945"/>
      <c r="I39" s="945"/>
      <c r="J39" s="945"/>
      <c r="K39" s="945"/>
      <c r="L39" s="945"/>
      <c r="M39" s="979"/>
      <c r="P39" s="939"/>
    </row>
    <row r="40" spans="1:16" ht="23.25" customHeight="1">
      <c r="A40" s="947" t="s">
        <v>758</v>
      </c>
      <c r="B40" s="948" t="s">
        <v>759</v>
      </c>
      <c r="C40" s="951" t="s">
        <v>807</v>
      </c>
      <c r="D40" s="951" t="s">
        <v>808</v>
      </c>
      <c r="E40" s="951" t="s">
        <v>809</v>
      </c>
      <c r="F40" s="951" t="s">
        <v>810</v>
      </c>
      <c r="G40" s="951" t="s">
        <v>811</v>
      </c>
      <c r="H40" s="951" t="s">
        <v>812</v>
      </c>
      <c r="I40" s="951" t="s">
        <v>813</v>
      </c>
      <c r="J40" s="951" t="s">
        <v>814</v>
      </c>
      <c r="K40" s="951" t="s">
        <v>815</v>
      </c>
      <c r="L40" s="951" t="s">
        <v>816</v>
      </c>
      <c r="M40" s="952" t="s">
        <v>571</v>
      </c>
    </row>
    <row r="41" spans="1:16">
      <c r="A41" s="953"/>
      <c r="B41" s="954"/>
      <c r="C41" s="955"/>
      <c r="D41" s="955"/>
      <c r="E41" s="955"/>
      <c r="F41" s="955"/>
      <c r="G41" s="955"/>
      <c r="H41" s="955"/>
      <c r="I41" s="955"/>
      <c r="J41" s="955"/>
      <c r="K41" s="955"/>
      <c r="L41" s="955"/>
      <c r="M41" s="980"/>
      <c r="P41" s="977"/>
    </row>
    <row r="42" spans="1:16" ht="20.25" customHeight="1">
      <c r="A42" s="957" t="s">
        <v>794</v>
      </c>
      <c r="B42" s="958" t="s">
        <v>795</v>
      </c>
      <c r="C42" s="960">
        <f>+'100'!C41+'102'!C41+'104'!C42+'106'!C42+'108'!C39</f>
        <v>0</v>
      </c>
      <c r="D42" s="960">
        <f>+'100'!D41+'102'!D41+'104'!D42+'106'!D42+'108'!D39</f>
        <v>0</v>
      </c>
      <c r="E42" s="960">
        <f>+'100'!E41+'102'!E41+'104'!E42+'106'!E42+'108'!E39</f>
        <v>18</v>
      </c>
      <c r="F42" s="960">
        <f>+'100'!F41+'102'!F41+'104'!F42+'106'!F42+'108'!F39</f>
        <v>90</v>
      </c>
      <c r="G42" s="960">
        <f>+'100'!G41+'102'!G41+'104'!G42+'106'!G42+'108'!G39</f>
        <v>32</v>
      </c>
      <c r="H42" s="960">
        <f>+'100'!H41+'102'!H41+'104'!H42+'106'!H42+'108'!H39</f>
        <v>16</v>
      </c>
      <c r="I42" s="960">
        <f>+'100'!I41+'102'!I41+'104'!I42+'106'!I42+'108'!I39</f>
        <v>11</v>
      </c>
      <c r="J42" s="960">
        <f>+'100'!J41+'102'!J41+'104'!J42+'106'!J42+'108'!J39</f>
        <v>59</v>
      </c>
      <c r="K42" s="960">
        <f>+'100'!K41+'102'!K41+'104'!K42+'106'!K42+'108'!K39</f>
        <v>82</v>
      </c>
      <c r="L42" s="960">
        <f>+'100'!L41+'102'!L41+'104'!L42+'106'!L42+'108'!L39</f>
        <v>122</v>
      </c>
      <c r="M42" s="962">
        <f>+'100'!M41+'102'!M41+'104'!M42+'106'!M42+'108'!M39</f>
        <v>430</v>
      </c>
    </row>
    <row r="43" spans="1:16" ht="19.5" customHeight="1">
      <c r="A43" s="957" t="s">
        <v>769</v>
      </c>
      <c r="B43" s="958" t="s">
        <v>770</v>
      </c>
      <c r="C43" s="960">
        <f>+'100'!C42+'102'!C42+'104'!C43+'106'!C43+'108'!C40</f>
        <v>0</v>
      </c>
      <c r="D43" s="960">
        <f>+'100'!D42+'102'!D42+'104'!D43+'106'!D43+'108'!D40</f>
        <v>0</v>
      </c>
      <c r="E43" s="960">
        <f>+'100'!E42+'102'!E42+'104'!E43+'106'!E43+'108'!E40</f>
        <v>3</v>
      </c>
      <c r="F43" s="960">
        <f>+'100'!F42+'102'!F42+'104'!F43+'106'!F43+'108'!F40</f>
        <v>16</v>
      </c>
      <c r="G43" s="960">
        <f>+'100'!G42+'102'!G42+'104'!G43+'106'!G43+'108'!G40</f>
        <v>13</v>
      </c>
      <c r="H43" s="960">
        <f>+'100'!H42+'102'!H42+'104'!H43+'106'!H43+'108'!H40</f>
        <v>11</v>
      </c>
      <c r="I43" s="960">
        <f>+'100'!I42+'102'!I42+'104'!I43+'106'!I43+'108'!I40</f>
        <v>11</v>
      </c>
      <c r="J43" s="960">
        <f>+'100'!J42+'102'!J42+'104'!J43+'106'!J43+'108'!J40</f>
        <v>256</v>
      </c>
      <c r="K43" s="960">
        <f>+'100'!K42+'102'!K42+'104'!K43+'106'!K43+'108'!K40</f>
        <v>534</v>
      </c>
      <c r="L43" s="960">
        <f>+'100'!L42+'102'!L42+'104'!L43+'106'!L43+'108'!L40</f>
        <v>526</v>
      </c>
      <c r="M43" s="962">
        <f>+'100'!M42+'102'!M42+'104'!M43+'106'!M43+'108'!M40</f>
        <v>1370</v>
      </c>
    </row>
    <row r="44" spans="1:16" ht="18" customHeight="1">
      <c r="A44" s="957" t="s">
        <v>218</v>
      </c>
      <c r="B44" s="958" t="s">
        <v>219</v>
      </c>
      <c r="C44" s="960">
        <f>+'100'!C43+'102'!C43+'104'!C44+'106'!C44+'108'!C41</f>
        <v>0</v>
      </c>
      <c r="D44" s="960">
        <f>+'100'!D43+'102'!D43+'104'!D44+'106'!D44+'108'!D41</f>
        <v>0</v>
      </c>
      <c r="E44" s="960">
        <f>+'100'!E43+'102'!E43+'104'!E44+'106'!E44+'108'!E41</f>
        <v>5</v>
      </c>
      <c r="F44" s="960">
        <f>+'100'!F43+'102'!F43+'104'!F44+'106'!F44+'108'!F41</f>
        <v>23</v>
      </c>
      <c r="G44" s="960">
        <f>+'100'!G43+'102'!G43+'104'!G44+'106'!G44+'108'!G41</f>
        <v>7</v>
      </c>
      <c r="H44" s="960">
        <f>+'100'!H43+'102'!H43+'104'!H44+'106'!H44+'108'!H41</f>
        <v>3</v>
      </c>
      <c r="I44" s="960">
        <f>+'100'!I43+'102'!I43+'104'!I44+'106'!I44+'108'!I41</f>
        <v>7</v>
      </c>
      <c r="J44" s="960">
        <f>+'100'!J43+'102'!J43+'104'!J44+'106'!J44+'108'!J41</f>
        <v>25</v>
      </c>
      <c r="K44" s="960">
        <f>+'100'!K43+'102'!K43+'104'!K44+'106'!K44+'108'!K41</f>
        <v>39</v>
      </c>
      <c r="L44" s="960">
        <f>+'100'!L43+'102'!L43+'104'!L44+'106'!L44+'108'!L41</f>
        <v>74</v>
      </c>
      <c r="M44" s="962">
        <f>+'100'!M43+'102'!M43+'104'!M44+'106'!M44+'108'!M41</f>
        <v>183</v>
      </c>
    </row>
    <row r="45" spans="1:16" ht="19.5" customHeight="1">
      <c r="A45" s="957" t="s">
        <v>798</v>
      </c>
      <c r="B45" s="958" t="s">
        <v>799</v>
      </c>
      <c r="C45" s="960">
        <f>+'100'!C44+'102'!C44+'104'!C45+'106'!C45+'108'!C42</f>
        <v>0</v>
      </c>
      <c r="D45" s="960">
        <f>+'100'!D44+'102'!D44+'104'!D45+'106'!D45+'108'!D42</f>
        <v>0</v>
      </c>
      <c r="E45" s="960">
        <f>+'100'!E44+'102'!E44+'104'!E45+'106'!E45+'108'!E42</f>
        <v>2</v>
      </c>
      <c r="F45" s="960">
        <f>+'100'!F44+'102'!F44+'104'!F45+'106'!F45+'108'!F42</f>
        <v>6</v>
      </c>
      <c r="G45" s="960">
        <f>+'100'!G44+'102'!G44+'104'!G45+'106'!G45+'108'!G42</f>
        <v>9</v>
      </c>
      <c r="H45" s="960">
        <f>+'100'!H44+'102'!H44+'104'!H45+'106'!H45+'108'!H42</f>
        <v>23</v>
      </c>
      <c r="I45" s="960">
        <f>+'100'!I44+'102'!I44+'104'!I45+'106'!I45+'108'!I42</f>
        <v>13</v>
      </c>
      <c r="J45" s="960">
        <f>+'100'!J44+'102'!J44+'104'!J45+'106'!J45+'108'!J42</f>
        <v>153</v>
      </c>
      <c r="K45" s="960">
        <f>+'100'!K44+'102'!K44+'104'!K45+'106'!K45+'108'!K42</f>
        <v>225</v>
      </c>
      <c r="L45" s="960">
        <f>+'100'!L44+'102'!L44+'104'!L45+'106'!L45+'108'!L42</f>
        <v>268</v>
      </c>
      <c r="M45" s="962">
        <f>+'100'!M44+'102'!M44+'104'!M45+'106'!M45+'108'!M42</f>
        <v>699</v>
      </c>
    </row>
    <row r="46" spans="1:16" ht="19.5" customHeight="1">
      <c r="A46" s="957" t="s">
        <v>220</v>
      </c>
      <c r="B46" s="958" t="s">
        <v>221</v>
      </c>
      <c r="C46" s="960">
        <f>+'100'!C45+'102'!C45+'104'!C46+'106'!C46+'108'!C43</f>
        <v>0</v>
      </c>
      <c r="D46" s="960">
        <f>+'100'!D45+'102'!D45+'104'!D46+'106'!D46+'108'!D43</f>
        <v>0</v>
      </c>
      <c r="E46" s="960">
        <f>+'100'!E45+'102'!E45+'104'!E46+'106'!E46+'108'!E43</f>
        <v>1</v>
      </c>
      <c r="F46" s="960">
        <f>+'100'!F45+'102'!F45+'104'!F46+'106'!F46+'108'!F43</f>
        <v>7</v>
      </c>
      <c r="G46" s="960">
        <f>+'100'!G45+'102'!G45+'104'!G46+'106'!G46+'108'!G43</f>
        <v>5</v>
      </c>
      <c r="H46" s="960">
        <f>+'100'!H45+'102'!H45+'104'!H46+'106'!H46+'108'!H43</f>
        <v>13</v>
      </c>
      <c r="I46" s="960">
        <f>+'100'!I45+'102'!I45+'104'!I46+'106'!I46+'108'!I43</f>
        <v>108</v>
      </c>
      <c r="J46" s="960">
        <f>+'100'!J45+'102'!J45+'104'!J46+'106'!J46+'108'!J43</f>
        <v>541</v>
      </c>
      <c r="K46" s="960">
        <f>+'100'!K45+'102'!K45+'104'!K46+'106'!K46+'108'!K43</f>
        <v>349</v>
      </c>
      <c r="L46" s="960">
        <f>+'100'!L45+'102'!L45+'104'!L46+'106'!L46+'108'!L43</f>
        <v>93</v>
      </c>
      <c r="M46" s="962">
        <f>+'100'!M45+'102'!M45+'104'!M46+'106'!M46+'108'!M43</f>
        <v>1117</v>
      </c>
    </row>
    <row r="47" spans="1:16" ht="19.5" customHeight="1">
      <c r="A47" s="957" t="s">
        <v>222</v>
      </c>
      <c r="B47" s="958" t="s">
        <v>223</v>
      </c>
      <c r="C47" s="960">
        <f>+'100'!C46+'102'!C46+'104'!C47+'106'!C47+'108'!C44</f>
        <v>0</v>
      </c>
      <c r="D47" s="960">
        <f>+'100'!D46+'102'!D46+'104'!D47+'106'!D47+'108'!D44</f>
        <v>0</v>
      </c>
      <c r="E47" s="960">
        <f>+'100'!E46+'102'!E46+'104'!E47+'106'!E47+'108'!E44</f>
        <v>26</v>
      </c>
      <c r="F47" s="960">
        <f>+'100'!F46+'102'!F46+'104'!F47+'106'!F47+'108'!F44</f>
        <v>52</v>
      </c>
      <c r="G47" s="960">
        <f>+'100'!G46+'102'!G46+'104'!G47+'106'!G47+'108'!G44</f>
        <v>23</v>
      </c>
      <c r="H47" s="960">
        <f>+'100'!H46+'102'!H46+'104'!H47+'106'!H47+'108'!H44</f>
        <v>29</v>
      </c>
      <c r="I47" s="960">
        <f>+'100'!I46+'102'!I46+'104'!I47+'106'!I47+'108'!I44</f>
        <v>14</v>
      </c>
      <c r="J47" s="960">
        <f>+'100'!J46+'102'!J46+'104'!J47+'106'!J47+'108'!J44</f>
        <v>95</v>
      </c>
      <c r="K47" s="960">
        <f>+'100'!K46+'102'!K46+'104'!K47+'106'!K47+'108'!K44</f>
        <v>83</v>
      </c>
      <c r="L47" s="960">
        <f>+'100'!L46+'102'!L46+'104'!L47+'106'!L47+'108'!L44</f>
        <v>119</v>
      </c>
      <c r="M47" s="962">
        <f>+'100'!M46+'102'!M46+'104'!M47+'106'!M47+'108'!M44</f>
        <v>441</v>
      </c>
    </row>
    <row r="48" spans="1:16" ht="19.5" customHeight="1">
      <c r="A48" s="957" t="s">
        <v>224</v>
      </c>
      <c r="B48" s="958" t="s">
        <v>225</v>
      </c>
      <c r="C48" s="960">
        <f>+'100'!C47+'102'!C47+'104'!C48+'106'!C48+'108'!C45</f>
        <v>0</v>
      </c>
      <c r="D48" s="960">
        <f>+'100'!D47+'102'!D47+'104'!D48+'106'!D48+'108'!D45</f>
        <v>0</v>
      </c>
      <c r="E48" s="960">
        <f>+'100'!E47+'102'!E47+'104'!E48+'106'!E48+'108'!E45</f>
        <v>1</v>
      </c>
      <c r="F48" s="960">
        <f>+'100'!F47+'102'!F47+'104'!F48+'106'!F48+'108'!F45</f>
        <v>10</v>
      </c>
      <c r="G48" s="960">
        <f>+'100'!G47+'102'!G47+'104'!G48+'106'!G48+'108'!G45</f>
        <v>11</v>
      </c>
      <c r="H48" s="960">
        <f>+'100'!H47+'102'!H47+'104'!H48+'106'!H48+'108'!H45</f>
        <v>11</v>
      </c>
      <c r="I48" s="960">
        <f>+'100'!I47+'102'!I47+'104'!I48+'106'!I48+'108'!I45</f>
        <v>2</v>
      </c>
      <c r="J48" s="960">
        <f>+'100'!J47+'102'!J47+'104'!J48+'106'!J48+'108'!J45</f>
        <v>24</v>
      </c>
      <c r="K48" s="960">
        <f>+'100'!K47+'102'!K47+'104'!K48+'106'!K48+'108'!K45</f>
        <v>47</v>
      </c>
      <c r="L48" s="960">
        <f>+'100'!L47+'102'!L47+'104'!L48+'106'!L48+'108'!L45</f>
        <v>37</v>
      </c>
      <c r="M48" s="962">
        <f>+'100'!M47+'102'!M47+'104'!M48+'106'!M48+'108'!M45</f>
        <v>143</v>
      </c>
    </row>
    <row r="49" spans="1:13" ht="18" customHeight="1">
      <c r="A49" s="957" t="s">
        <v>767</v>
      </c>
      <c r="B49" s="958" t="s">
        <v>768</v>
      </c>
      <c r="C49" s="960">
        <f>+'100'!C48+'102'!C48+'104'!C49+'106'!C49+'108'!C46</f>
        <v>0</v>
      </c>
      <c r="D49" s="960">
        <f>+'100'!D48+'102'!D48+'104'!D49+'106'!D49+'108'!D46</f>
        <v>0</v>
      </c>
      <c r="E49" s="960">
        <f>+'100'!E48+'102'!E48+'104'!E49+'106'!E49+'108'!E46</f>
        <v>6</v>
      </c>
      <c r="F49" s="960">
        <f>+'100'!F48+'102'!F48+'104'!F49+'106'!F49+'108'!F46</f>
        <v>7</v>
      </c>
      <c r="G49" s="960">
        <f>+'100'!G48+'102'!G48+'104'!G49+'106'!G49+'108'!G46</f>
        <v>5</v>
      </c>
      <c r="H49" s="960">
        <f>+'100'!H48+'102'!H48+'104'!H49+'106'!H49+'108'!H46</f>
        <v>8</v>
      </c>
      <c r="I49" s="960">
        <f>+'100'!I48+'102'!I48+'104'!I49+'106'!I49+'108'!I46</f>
        <v>26</v>
      </c>
      <c r="J49" s="960">
        <f>+'100'!J48+'102'!J48+'104'!J49+'106'!J49+'108'!J46</f>
        <v>194</v>
      </c>
      <c r="K49" s="960">
        <f>+'100'!K48+'102'!K48+'104'!K49+'106'!K49+'108'!K46</f>
        <v>735</v>
      </c>
      <c r="L49" s="960">
        <f>+'100'!L48+'102'!L48+'104'!L49+'106'!L49+'108'!L46</f>
        <v>1344</v>
      </c>
      <c r="M49" s="962">
        <f>+'100'!M48+'102'!M48+'104'!M49+'106'!M49+'108'!M46</f>
        <v>2325</v>
      </c>
    </row>
    <row r="50" spans="1:13" ht="18.75" customHeight="1">
      <c r="A50" s="957" t="s">
        <v>771</v>
      </c>
      <c r="B50" s="958" t="s">
        <v>772</v>
      </c>
      <c r="C50" s="960">
        <f>+'100'!C49+'102'!C49+'104'!C50+'106'!C50+'108'!C47</f>
        <v>0</v>
      </c>
      <c r="D50" s="960">
        <f>+'100'!D49+'102'!D49+'104'!D50+'106'!D50+'108'!D47</f>
        <v>0</v>
      </c>
      <c r="E50" s="960">
        <f>+'100'!E49+'102'!E49+'104'!E50+'106'!E50+'108'!E47</f>
        <v>155</v>
      </c>
      <c r="F50" s="960">
        <f>+'100'!F49+'102'!F49+'104'!F50+'106'!F50+'108'!F47</f>
        <v>386</v>
      </c>
      <c r="G50" s="960">
        <f>+'100'!G49+'102'!G49+'104'!G50+'106'!G50+'108'!G47</f>
        <v>249</v>
      </c>
      <c r="H50" s="960">
        <f>+'100'!H49+'102'!H49+'104'!H50+'106'!H50+'108'!H47</f>
        <v>72</v>
      </c>
      <c r="I50" s="960">
        <f>+'100'!I49+'102'!I49+'104'!I50+'106'!I50+'108'!I47</f>
        <v>36</v>
      </c>
      <c r="J50" s="960">
        <f>+'100'!J49+'102'!J49+'104'!J50+'106'!J50+'108'!J47</f>
        <v>178</v>
      </c>
      <c r="K50" s="960">
        <f>+'100'!K49+'102'!K49+'104'!K50+'106'!K50+'108'!K47</f>
        <v>279</v>
      </c>
      <c r="L50" s="960">
        <f>+'100'!L49+'102'!L49+'104'!L50+'106'!L50+'108'!L47</f>
        <v>945</v>
      </c>
      <c r="M50" s="962">
        <f>+'100'!M49+'102'!M49+'104'!M50+'106'!M50+'108'!M47</f>
        <v>2300</v>
      </c>
    </row>
    <row r="51" spans="1:13" ht="19.5" customHeight="1">
      <c r="A51" s="957" t="s">
        <v>790</v>
      </c>
      <c r="B51" s="958" t="s">
        <v>791</v>
      </c>
      <c r="C51" s="960">
        <f>+'100'!C50+'102'!C50+'104'!C51+'106'!C51+'108'!C48</f>
        <v>0</v>
      </c>
      <c r="D51" s="960">
        <f>+'100'!D50+'102'!D50+'104'!D51+'106'!D51+'108'!D48</f>
        <v>0</v>
      </c>
      <c r="E51" s="960">
        <f>+'100'!E50+'102'!E50+'104'!E51+'106'!E51+'108'!E48</f>
        <v>30</v>
      </c>
      <c r="F51" s="960">
        <f>+'100'!F50+'102'!F50+'104'!F51+'106'!F51+'108'!F48</f>
        <v>44</v>
      </c>
      <c r="G51" s="960">
        <f>+'100'!G50+'102'!G50+'104'!G51+'106'!G51+'108'!G48</f>
        <v>83</v>
      </c>
      <c r="H51" s="960">
        <f>+'100'!H50+'102'!H50+'104'!H51+'106'!H51+'108'!H48</f>
        <v>102</v>
      </c>
      <c r="I51" s="960">
        <f>+'100'!I50+'102'!I50+'104'!I51+'106'!I51+'108'!I48</f>
        <v>168</v>
      </c>
      <c r="J51" s="960">
        <f>+'100'!J50+'102'!J50+'104'!J51+'106'!J51+'108'!J48</f>
        <v>1128</v>
      </c>
      <c r="K51" s="960">
        <f>+'100'!K50+'102'!K50+'104'!K51+'106'!K51+'108'!K48</f>
        <v>1270</v>
      </c>
      <c r="L51" s="960">
        <f>+'100'!L50+'102'!L50+'104'!L51+'106'!L51+'108'!L48</f>
        <v>1007</v>
      </c>
      <c r="M51" s="962">
        <f>+'100'!M50+'102'!M50+'104'!M51+'106'!M51+'108'!M48</f>
        <v>3832</v>
      </c>
    </row>
    <row r="52" spans="1:13" ht="18" customHeight="1">
      <c r="A52" s="957" t="s">
        <v>226</v>
      </c>
      <c r="B52" s="958" t="s">
        <v>227</v>
      </c>
      <c r="C52" s="960">
        <f>+'100'!C51+'102'!C51+'104'!C52+'106'!C52+'108'!C49</f>
        <v>0</v>
      </c>
      <c r="D52" s="960">
        <f>+'100'!D51+'102'!D51+'104'!D52+'106'!D52+'108'!D49</f>
        <v>0</v>
      </c>
      <c r="E52" s="960">
        <f>+'100'!E51+'102'!E51+'104'!E52+'106'!E52+'108'!E49</f>
        <v>5</v>
      </c>
      <c r="F52" s="960">
        <f>+'100'!F51+'102'!F51+'104'!F52+'106'!F52+'108'!F49</f>
        <v>19</v>
      </c>
      <c r="G52" s="960">
        <f>+'100'!G51+'102'!G51+'104'!G52+'106'!G52+'108'!G49</f>
        <v>11</v>
      </c>
      <c r="H52" s="960">
        <f>+'100'!H51+'102'!H51+'104'!H52+'106'!H52+'108'!H49</f>
        <v>10</v>
      </c>
      <c r="I52" s="960">
        <f>+'100'!I51+'102'!I51+'104'!I52+'106'!I52+'108'!I49</f>
        <v>12</v>
      </c>
      <c r="J52" s="960">
        <f>+'100'!J51+'102'!J51+'104'!J52+'106'!J52+'108'!J49</f>
        <v>75</v>
      </c>
      <c r="K52" s="960">
        <f>+'100'!K51+'102'!K51+'104'!K52+'106'!K52+'108'!K49</f>
        <v>90</v>
      </c>
      <c r="L52" s="960">
        <f>+'100'!L51+'102'!L51+'104'!L52+'106'!L52+'108'!L49</f>
        <v>92</v>
      </c>
      <c r="M52" s="962">
        <f>+'100'!M51+'102'!M51+'104'!M52+'106'!M52+'108'!M49</f>
        <v>314</v>
      </c>
    </row>
    <row r="53" spans="1:13" ht="19.5" customHeight="1">
      <c r="A53" s="957" t="s">
        <v>228</v>
      </c>
      <c r="B53" s="958" t="s">
        <v>229</v>
      </c>
      <c r="C53" s="960">
        <f>+'100'!C52+'102'!C52+'104'!C53+'106'!C53+'108'!C50</f>
        <v>0</v>
      </c>
      <c r="D53" s="960">
        <f>+'100'!D52+'102'!D52+'104'!D53+'106'!D53+'108'!D50</f>
        <v>0</v>
      </c>
      <c r="E53" s="960">
        <f>+'100'!E52+'102'!E52+'104'!E53+'106'!E53+'108'!E50</f>
        <v>1</v>
      </c>
      <c r="F53" s="960">
        <f>+'100'!F52+'102'!F52+'104'!F53+'106'!F53+'108'!F50</f>
        <v>9</v>
      </c>
      <c r="G53" s="960">
        <f>+'100'!G52+'102'!G52+'104'!G53+'106'!G53+'108'!G50</f>
        <v>6</v>
      </c>
      <c r="H53" s="960">
        <f>+'100'!H52+'102'!H52+'104'!H53+'106'!H53+'108'!H50</f>
        <v>50</v>
      </c>
      <c r="I53" s="960">
        <f>+'100'!I52+'102'!I52+'104'!I53+'106'!I53+'108'!I50</f>
        <v>36</v>
      </c>
      <c r="J53" s="960">
        <f>+'100'!J52+'102'!J52+'104'!J53+'106'!J53+'108'!J50</f>
        <v>225</v>
      </c>
      <c r="K53" s="960">
        <f>+'100'!K52+'102'!K52+'104'!K53+'106'!K53+'108'!K50</f>
        <v>343</v>
      </c>
      <c r="L53" s="960">
        <f>+'100'!L52+'102'!L52+'104'!L53+'106'!L53+'108'!L50</f>
        <v>194</v>
      </c>
      <c r="M53" s="962">
        <f>+'100'!M52+'102'!M52+'104'!M53+'106'!M53+'108'!M50</f>
        <v>864</v>
      </c>
    </row>
    <row r="54" spans="1:13" ht="18.75" customHeight="1">
      <c r="A54" s="957" t="s">
        <v>792</v>
      </c>
      <c r="B54" s="958" t="s">
        <v>793</v>
      </c>
      <c r="C54" s="960">
        <f>+'100'!C53+'102'!C53+'104'!C54+'106'!C54+'108'!C51</f>
        <v>0</v>
      </c>
      <c r="D54" s="960">
        <f>+'100'!D53+'102'!D53+'104'!D54+'106'!D54+'108'!D51</f>
        <v>0</v>
      </c>
      <c r="E54" s="960">
        <f>+'100'!E53+'102'!E53+'104'!E54+'106'!E54+'108'!E51</f>
        <v>23</v>
      </c>
      <c r="F54" s="960">
        <f>+'100'!F53+'102'!F53+'104'!F54+'106'!F54+'108'!F51</f>
        <v>101</v>
      </c>
      <c r="G54" s="960">
        <f>+'100'!G53+'102'!G53+'104'!G54+'106'!G54+'108'!G51</f>
        <v>117</v>
      </c>
      <c r="H54" s="960">
        <f>+'100'!H53+'102'!H53+'104'!H54+'106'!H54+'108'!H51</f>
        <v>44</v>
      </c>
      <c r="I54" s="960">
        <f>+'100'!I53+'102'!I53+'104'!I54+'106'!I54+'108'!I51</f>
        <v>98</v>
      </c>
      <c r="J54" s="960">
        <f>+'100'!J53+'102'!J53+'104'!J54+'106'!J54+'108'!J51</f>
        <v>573</v>
      </c>
      <c r="K54" s="960">
        <f>+'100'!K53+'102'!K53+'104'!K54+'106'!K54+'108'!K51</f>
        <v>664</v>
      </c>
      <c r="L54" s="960">
        <f>+'100'!L53+'102'!L53+'104'!L54+'106'!L54+'108'!L51</f>
        <v>716</v>
      </c>
      <c r="M54" s="962">
        <f>+'100'!M53+'102'!M53+'104'!M54+'106'!M54+'108'!M51</f>
        <v>2336</v>
      </c>
    </row>
    <row r="55" spans="1:13" ht="18.75" customHeight="1">
      <c r="A55" s="957" t="s">
        <v>230</v>
      </c>
      <c r="B55" s="958" t="s">
        <v>231</v>
      </c>
      <c r="C55" s="960">
        <f>+'100'!C54+'102'!C54+'104'!C55+'106'!C55+'108'!C52</f>
        <v>0</v>
      </c>
      <c r="D55" s="960">
        <f>+'100'!D54+'102'!D54+'104'!D55+'106'!D55+'108'!D52</f>
        <v>0</v>
      </c>
      <c r="E55" s="960">
        <f>+'100'!E54+'102'!E54+'104'!E55+'106'!E55+'108'!E52</f>
        <v>0</v>
      </c>
      <c r="F55" s="960">
        <f>+'100'!F54+'102'!F54+'104'!F55+'106'!F55+'108'!F52</f>
        <v>0</v>
      </c>
      <c r="G55" s="960">
        <f>+'100'!G54+'102'!G54+'104'!G55+'106'!G55+'108'!G52</f>
        <v>0</v>
      </c>
      <c r="H55" s="960">
        <f>+'100'!H54+'102'!H54+'104'!H55+'106'!H55+'108'!H52</f>
        <v>8</v>
      </c>
      <c r="I55" s="960">
        <f>+'100'!I54+'102'!I54+'104'!I55+'106'!I55+'108'!I52</f>
        <v>610</v>
      </c>
      <c r="J55" s="960">
        <f>+'100'!J54+'102'!J54+'104'!J55+'106'!J55+'108'!J52</f>
        <v>4356</v>
      </c>
      <c r="K55" s="960">
        <f>+'100'!K54+'102'!K54+'104'!K55+'106'!K55+'108'!K52</f>
        <v>28</v>
      </c>
      <c r="L55" s="1148">
        <f>+'100'!L54+'102'!L54+'104'!L55+'106'!L55+'108'!L52</f>
        <v>0</v>
      </c>
      <c r="M55" s="962">
        <f>+'100'!M54+'102'!M54+'104'!M55+'106'!M55+'108'!M52</f>
        <v>5002</v>
      </c>
    </row>
    <row r="56" spans="1:13" ht="18" customHeight="1">
      <c r="A56" s="957" t="s">
        <v>800</v>
      </c>
      <c r="B56" s="958" t="s">
        <v>801</v>
      </c>
      <c r="C56" s="960">
        <f>+'100'!C55+'102'!C55+'104'!C56+'106'!C56+'108'!C53</f>
        <v>360</v>
      </c>
      <c r="D56" s="960">
        <f>+'100'!D55+'102'!D55+'104'!D56+'106'!D56+'108'!D53</f>
        <v>279</v>
      </c>
      <c r="E56" s="1149">
        <f>+'100'!E55+'102'!E55+'104'!E56+'106'!E56+'108'!E53</f>
        <v>0</v>
      </c>
      <c r="F56" s="1148">
        <f>+'100'!F55+'102'!F55+'104'!F56+'106'!F56+'108'!F53</f>
        <v>0</v>
      </c>
      <c r="G56" s="960">
        <f>+'100'!G55+'102'!G55+'104'!G56+'106'!G56+'108'!G53</f>
        <v>0</v>
      </c>
      <c r="H56" s="960">
        <f>+'100'!H55+'102'!H55+'104'!H56+'106'!H56+'108'!H53</f>
        <v>0</v>
      </c>
      <c r="I56" s="960">
        <f>+'100'!I55+'102'!I55+'104'!I56+'106'!I56+'108'!I53</f>
        <v>0</v>
      </c>
      <c r="J56" s="981">
        <f>+'100'!J55+'102'!J55+'104'!J56+'106'!J56+'108'!J53</f>
        <v>0</v>
      </c>
      <c r="K56" s="960">
        <f>+'100'!K55+'102'!K55+'104'!K56+'106'!K56+'108'!K53</f>
        <v>0</v>
      </c>
      <c r="L56" s="960">
        <f>+'100'!L55+'102'!L55+'104'!L56+'106'!L56+'108'!L53</f>
        <v>0</v>
      </c>
      <c r="M56" s="962">
        <f>+'100'!M55+'102'!M55+'104'!M56+'106'!M56+'108'!M53</f>
        <v>639</v>
      </c>
    </row>
    <row r="57" spans="1:13" ht="20.25" customHeight="1">
      <c r="A57" s="957" t="s">
        <v>802</v>
      </c>
      <c r="B57" s="958" t="s">
        <v>803</v>
      </c>
      <c r="C57" s="960">
        <f>+'100'!C56+'102'!C56+'104'!C57+'106'!C57+'108'!C54</f>
        <v>3</v>
      </c>
      <c r="D57" s="960">
        <f>+'100'!D56+'102'!D56+'104'!D57+'106'!D57+'108'!D54</f>
        <v>4</v>
      </c>
      <c r="E57" s="960">
        <f>+'100'!E56+'102'!E56+'104'!E57+'106'!E57+'108'!E54</f>
        <v>43</v>
      </c>
      <c r="F57" s="960">
        <f>+'100'!F56+'102'!F56+'104'!F57+'106'!F57+'108'!F54</f>
        <v>90</v>
      </c>
      <c r="G57" s="960">
        <f>+'100'!G56+'102'!G56+'104'!G57+'106'!G57+'108'!G54</f>
        <v>40</v>
      </c>
      <c r="H57" s="960">
        <f>+'100'!H56+'102'!H56+'104'!H57+'106'!H57+'108'!H54</f>
        <v>18</v>
      </c>
      <c r="I57" s="960">
        <f>+'100'!I56+'102'!I56+'104'!I57+'106'!I57+'108'!I54</f>
        <v>6</v>
      </c>
      <c r="J57" s="960">
        <f>+'100'!J56+'102'!J56+'104'!J57+'106'!J57+'108'!J54</f>
        <v>17</v>
      </c>
      <c r="K57" s="960">
        <f>+'100'!K56+'102'!K56+'104'!K57+'106'!K57+'108'!K54</f>
        <v>16</v>
      </c>
      <c r="L57" s="960">
        <f>+'100'!L56+'102'!L56+'104'!L57+'106'!L57+'108'!L54</f>
        <v>2</v>
      </c>
      <c r="M57" s="962">
        <f>+'100'!M56+'102'!M56+'104'!M57+'106'!M57+'108'!M54</f>
        <v>239</v>
      </c>
    </row>
    <row r="58" spans="1:13" ht="19.5" customHeight="1">
      <c r="A58" s="957" t="s">
        <v>796</v>
      </c>
      <c r="B58" s="958" t="s">
        <v>817</v>
      </c>
      <c r="C58" s="960">
        <f>+'100'!C57+'102'!C57+'104'!C58+'106'!C58+'108'!C55</f>
        <v>0</v>
      </c>
      <c r="D58" s="960">
        <f>+'100'!D57+'102'!D57+'104'!D58+'106'!D58+'108'!D55</f>
        <v>0</v>
      </c>
      <c r="E58" s="960">
        <f>+'100'!E57+'102'!E57+'104'!E58+'106'!E58+'108'!E55</f>
        <v>9</v>
      </c>
      <c r="F58" s="960">
        <f>+'100'!F57+'102'!F57+'104'!F58+'106'!F58+'108'!F55</f>
        <v>24</v>
      </c>
      <c r="G58" s="960">
        <f>+'100'!G57+'102'!G57+'104'!G58+'106'!G58+'108'!G55</f>
        <v>18</v>
      </c>
      <c r="H58" s="960">
        <f>+'100'!H57+'102'!H57+'104'!H58+'106'!H58+'108'!H55</f>
        <v>13</v>
      </c>
      <c r="I58" s="960">
        <f>+'100'!I57+'102'!I57+'104'!I58+'106'!I58+'108'!I55</f>
        <v>9</v>
      </c>
      <c r="J58" s="960">
        <f>+'100'!J57+'102'!J57+'104'!J58+'106'!J58+'108'!J55</f>
        <v>36</v>
      </c>
      <c r="K58" s="960">
        <f>+'100'!K57+'102'!K57+'104'!K58+'106'!K58+'108'!K55</f>
        <v>51</v>
      </c>
      <c r="L58" s="960">
        <f>+'100'!L57+'102'!L57+'104'!L58+'106'!L58+'108'!L55</f>
        <v>92</v>
      </c>
      <c r="M58" s="962">
        <f>+'100'!M57+'102'!M57+'104'!M58+'106'!M58+'108'!M55</f>
        <v>252</v>
      </c>
    </row>
    <row r="59" spans="1:13" ht="28.5" customHeight="1">
      <c r="A59" s="957" t="s">
        <v>788</v>
      </c>
      <c r="B59" s="963" t="s">
        <v>232</v>
      </c>
      <c r="C59" s="960">
        <f>+'100'!C58+'102'!C58+'104'!C59+'106'!C59+'108'!C56</f>
        <v>0</v>
      </c>
      <c r="D59" s="960">
        <f>+'100'!D58+'102'!D58+'104'!D59+'106'!D59+'108'!D56</f>
        <v>0</v>
      </c>
      <c r="E59" s="960">
        <f>+'100'!E58+'102'!E58+'104'!E59+'106'!E59+'108'!E56</f>
        <v>15</v>
      </c>
      <c r="F59" s="960">
        <f>+'100'!F58+'102'!F58+'104'!F59+'106'!F59+'108'!F56</f>
        <v>110</v>
      </c>
      <c r="G59" s="960">
        <f>+'100'!G58+'102'!G58+'104'!G59+'106'!G59+'108'!G56</f>
        <v>99</v>
      </c>
      <c r="H59" s="960">
        <f>+'100'!H58+'102'!H58+'104'!H59+'106'!H59+'108'!H56</f>
        <v>143</v>
      </c>
      <c r="I59" s="960">
        <f>+'100'!I58+'102'!I58+'104'!I59+'106'!I59+'108'!I56</f>
        <v>139</v>
      </c>
      <c r="J59" s="960">
        <f>+'100'!J58+'102'!J58+'104'!J59+'106'!J59+'108'!J56</f>
        <v>760</v>
      </c>
      <c r="K59" s="960">
        <f>+'100'!K58+'102'!K58+'104'!K59+'106'!K59+'108'!K56</f>
        <v>432</v>
      </c>
      <c r="L59" s="960">
        <f>+'100'!L58+'102'!L58+'104'!L59+'106'!L59+'108'!L56</f>
        <v>442</v>
      </c>
      <c r="M59" s="962">
        <f>+'100'!M58+'102'!M58+'104'!M59+'106'!M59+'108'!M56</f>
        <v>2140</v>
      </c>
    </row>
    <row r="60" spans="1:13" ht="19.5" customHeight="1">
      <c r="A60" s="964"/>
      <c r="B60" s="964" t="s">
        <v>923</v>
      </c>
      <c r="C60" s="966">
        <f t="shared" ref="C60:M60" si="4">SUM(C42:C59)</f>
        <v>363</v>
      </c>
      <c r="D60" s="966">
        <f t="shared" si="4"/>
        <v>283</v>
      </c>
      <c r="E60" s="966">
        <f t="shared" si="4"/>
        <v>343</v>
      </c>
      <c r="F60" s="966">
        <f t="shared" si="4"/>
        <v>994</v>
      </c>
      <c r="G60" s="966">
        <f t="shared" si="4"/>
        <v>728</v>
      </c>
      <c r="H60" s="966">
        <f t="shared" si="4"/>
        <v>574</v>
      </c>
      <c r="I60" s="966">
        <f t="shared" si="4"/>
        <v>1306</v>
      </c>
      <c r="J60" s="966">
        <f t="shared" si="4"/>
        <v>8695</v>
      </c>
      <c r="K60" s="966">
        <f t="shared" si="4"/>
        <v>5267</v>
      </c>
      <c r="L60" s="966">
        <f t="shared" si="4"/>
        <v>6073</v>
      </c>
      <c r="M60" s="968">
        <f t="shared" si="4"/>
        <v>24626</v>
      </c>
    </row>
  </sheetData>
  <phoneticPr fontId="19" type="noConversion"/>
  <pageMargins left="1.1811023622047245" right="0.78740157480314965" top="1.1811023622047245" bottom="0.39370078740157483" header="0.51181102362204722" footer="0.51181102362204722"/>
  <pageSetup paperSize="5" scale="85" orientation="landscape" horizontalDpi="300" verticalDpi="300" r:id="rId1"/>
  <headerFooter alignWithMargins="0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6"/>
  <sheetViews>
    <sheetView topLeftCell="A25" zoomScale="75" workbookViewId="0">
      <selection activeCell="G28" sqref="G28"/>
    </sheetView>
  </sheetViews>
  <sheetFormatPr baseColWidth="10" defaultRowHeight="12.75"/>
  <cols>
    <col min="1" max="1" width="9.42578125" style="939" customWidth="1"/>
    <col min="2" max="2" width="26.85546875" style="939" customWidth="1"/>
    <col min="3" max="3" width="13.28515625" style="939" customWidth="1"/>
    <col min="4" max="4" width="12.85546875" style="939" customWidth="1"/>
    <col min="5" max="5" width="12.7109375" style="939" customWidth="1"/>
    <col min="6" max="6" width="11.5703125" style="939" customWidth="1"/>
    <col min="7" max="7" width="11.7109375" style="939" customWidth="1"/>
    <col min="8" max="8" width="10.140625" style="939" customWidth="1"/>
    <col min="9" max="16384" width="11.42578125" style="939"/>
  </cols>
  <sheetData>
    <row r="1" spans="1:10">
      <c r="A1" s="936" t="s">
        <v>234</v>
      </c>
      <c r="B1" s="982"/>
      <c r="C1" s="937"/>
      <c r="D1" s="937"/>
      <c r="E1" s="937"/>
      <c r="F1" s="937"/>
      <c r="G1" s="937"/>
      <c r="H1" s="937"/>
      <c r="I1" s="937"/>
      <c r="J1" s="937"/>
    </row>
    <row r="2" spans="1:10">
      <c r="A2" s="936"/>
      <c r="B2" s="982"/>
      <c r="C2" s="937"/>
      <c r="D2" s="937"/>
      <c r="E2" s="937"/>
      <c r="F2" s="937"/>
      <c r="G2" s="937"/>
      <c r="H2" s="937"/>
      <c r="I2" s="937"/>
      <c r="J2" s="937"/>
    </row>
    <row r="3" spans="1:10">
      <c r="A3" s="936" t="str">
        <f>+'108'!A3</f>
        <v>SERVICIO DE SALUD   ACONCAGUA   2014</v>
      </c>
      <c r="B3" s="982"/>
      <c r="C3" s="937"/>
      <c r="D3" s="937"/>
      <c r="E3" s="937"/>
      <c r="F3" s="937"/>
      <c r="G3" s="937"/>
      <c r="H3" s="937"/>
      <c r="I3" s="937"/>
      <c r="J3" s="937"/>
    </row>
    <row r="4" spans="1:10">
      <c r="A4" s="983"/>
      <c r="B4" s="982"/>
      <c r="C4" s="937"/>
      <c r="D4" s="937"/>
      <c r="E4" s="937"/>
      <c r="F4" s="937"/>
      <c r="G4" s="937"/>
      <c r="H4" s="937"/>
      <c r="I4" s="937"/>
      <c r="J4" s="937"/>
    </row>
    <row r="5" spans="1:10">
      <c r="A5" s="940"/>
    </row>
    <row r="6" spans="1:10">
      <c r="A6" s="940"/>
    </row>
    <row r="7" spans="1:10" ht="21" customHeight="1">
      <c r="A7" s="942" t="s">
        <v>756</v>
      </c>
      <c r="B7" s="943"/>
      <c r="C7" s="945" t="s">
        <v>235</v>
      </c>
      <c r="D7" s="945"/>
      <c r="E7" s="945"/>
      <c r="F7" s="945"/>
      <c r="G7" s="945"/>
      <c r="H7" s="979"/>
      <c r="J7" s="984" t="s">
        <v>236</v>
      </c>
    </row>
    <row r="8" spans="1:10" ht="23.25" customHeight="1">
      <c r="A8" s="947" t="s">
        <v>758</v>
      </c>
      <c r="B8" s="948" t="s">
        <v>759</v>
      </c>
      <c r="C8" s="950" t="s">
        <v>466</v>
      </c>
      <c r="D8" s="951" t="s">
        <v>699</v>
      </c>
      <c r="E8" s="951" t="s">
        <v>989</v>
      </c>
      <c r="F8" s="951" t="s">
        <v>445</v>
      </c>
      <c r="G8" s="951" t="s">
        <v>446</v>
      </c>
      <c r="H8" s="952" t="s">
        <v>571</v>
      </c>
      <c r="J8" s="985" t="s">
        <v>237</v>
      </c>
    </row>
    <row r="9" spans="1:10">
      <c r="A9" s="953"/>
      <c r="B9" s="954"/>
      <c r="C9" s="955"/>
      <c r="D9" s="955"/>
      <c r="E9" s="955"/>
      <c r="F9" s="955"/>
      <c r="G9" s="955"/>
      <c r="H9" s="980"/>
      <c r="J9" s="958"/>
    </row>
    <row r="10" spans="1:10" ht="17.25" customHeight="1">
      <c r="A10" s="957" t="s">
        <v>794</v>
      </c>
      <c r="B10" s="958" t="s">
        <v>795</v>
      </c>
      <c r="C10" s="960">
        <f>+'100'!P10</f>
        <v>185</v>
      </c>
      <c r="D10" s="960">
        <f>+'102'!P10</f>
        <v>178</v>
      </c>
      <c r="E10" s="960">
        <f>+'104'!P10</f>
        <v>46</v>
      </c>
      <c r="F10" s="960">
        <f>+'106'!P10</f>
        <v>21</v>
      </c>
      <c r="G10" s="986">
        <f>+'108'!P10</f>
        <v>0</v>
      </c>
      <c r="H10" s="962">
        <f t="shared" ref="H10:H27" si="0">SUM(C10:G10)</f>
        <v>430</v>
      </c>
      <c r="I10" s="987"/>
      <c r="J10" s="988">
        <f>+H10/H28*100</f>
        <v>1.7461219848940144</v>
      </c>
    </row>
    <row r="11" spans="1:10" ht="16.5" customHeight="1">
      <c r="A11" s="957" t="s">
        <v>769</v>
      </c>
      <c r="B11" s="958" t="s">
        <v>770</v>
      </c>
      <c r="C11" s="960">
        <f>+'100'!P11</f>
        <v>748</v>
      </c>
      <c r="D11" s="960">
        <f>+'102'!P11</f>
        <v>586</v>
      </c>
      <c r="E11" s="960">
        <f>+'104'!P11</f>
        <v>17</v>
      </c>
      <c r="F11" s="960">
        <f>+'106'!P11</f>
        <v>19</v>
      </c>
      <c r="G11" s="986">
        <f>+'108'!P11</f>
        <v>0</v>
      </c>
      <c r="H11" s="962">
        <f t="shared" si="0"/>
        <v>1370</v>
      </c>
      <c r="I11" s="987"/>
      <c r="J11" s="988">
        <f>+H11/H28*100</f>
        <v>5.5632258588483721</v>
      </c>
    </row>
    <row r="12" spans="1:10" ht="15.75" customHeight="1">
      <c r="A12" s="957" t="s">
        <v>218</v>
      </c>
      <c r="B12" s="958" t="s">
        <v>219</v>
      </c>
      <c r="C12" s="960">
        <f>+'100'!P12</f>
        <v>113</v>
      </c>
      <c r="D12" s="960">
        <f>+'102'!P12</f>
        <v>43</v>
      </c>
      <c r="E12" s="960">
        <f>+'104'!P12</f>
        <v>19</v>
      </c>
      <c r="F12" s="960">
        <f>+'106'!P12</f>
        <v>8</v>
      </c>
      <c r="G12" s="986">
        <f>+'108'!P12</f>
        <v>0</v>
      </c>
      <c r="H12" s="962">
        <f t="shared" si="0"/>
        <v>183</v>
      </c>
      <c r="I12" s="987"/>
      <c r="J12" s="988">
        <f>+H12/H28*100</f>
        <v>0.74311703078047586</v>
      </c>
    </row>
    <row r="13" spans="1:10" ht="16.5" customHeight="1">
      <c r="A13" s="957" t="s">
        <v>798</v>
      </c>
      <c r="B13" s="958" t="s">
        <v>799</v>
      </c>
      <c r="C13" s="960">
        <f>+'100'!P13</f>
        <v>399</v>
      </c>
      <c r="D13" s="960">
        <f>+'102'!P13</f>
        <v>177</v>
      </c>
      <c r="E13" s="960">
        <f>+'104'!P13</f>
        <v>89</v>
      </c>
      <c r="F13" s="960">
        <f>+'106'!P13</f>
        <v>34</v>
      </c>
      <c r="G13" s="986">
        <f>+'108'!P13</f>
        <v>0</v>
      </c>
      <c r="H13" s="962">
        <f t="shared" si="0"/>
        <v>699</v>
      </c>
      <c r="I13" s="987"/>
      <c r="J13" s="988">
        <f>+H13/H28*100</f>
        <v>2.8384634126532933</v>
      </c>
    </row>
    <row r="14" spans="1:10" ht="17.25" customHeight="1">
      <c r="A14" s="957" t="s">
        <v>220</v>
      </c>
      <c r="B14" s="958" t="s">
        <v>221</v>
      </c>
      <c r="C14" s="960">
        <f>+'100'!P14</f>
        <v>71</v>
      </c>
      <c r="D14" s="960">
        <f>+'102'!P14</f>
        <v>33</v>
      </c>
      <c r="E14" s="960">
        <f>+'104'!P14</f>
        <v>45</v>
      </c>
      <c r="F14" s="960">
        <f>+'106'!P14</f>
        <v>58</v>
      </c>
      <c r="G14" s="986">
        <f>+'108'!P14</f>
        <v>910</v>
      </c>
      <c r="H14" s="962">
        <f t="shared" si="0"/>
        <v>1117</v>
      </c>
      <c r="I14" s="987"/>
      <c r="J14" s="988">
        <f>+H14/H28*100</f>
        <v>4.5358564119223583</v>
      </c>
    </row>
    <row r="15" spans="1:10" ht="18" customHeight="1">
      <c r="A15" s="957" t="s">
        <v>222</v>
      </c>
      <c r="B15" s="958" t="s">
        <v>223</v>
      </c>
      <c r="C15" s="960">
        <f>+'100'!P15</f>
        <v>319</v>
      </c>
      <c r="D15" s="960">
        <f>+'102'!P15</f>
        <v>83</v>
      </c>
      <c r="E15" s="960">
        <f>+'104'!P15</f>
        <v>22</v>
      </c>
      <c r="F15" s="960">
        <f>+'106'!P15</f>
        <v>13</v>
      </c>
      <c r="G15" s="986">
        <f>+'108'!P15</f>
        <v>4</v>
      </c>
      <c r="H15" s="962">
        <f t="shared" si="0"/>
        <v>441</v>
      </c>
      <c r="I15" s="987"/>
      <c r="J15" s="988">
        <f>+H15/H28*100</f>
        <v>1.7907902217168845</v>
      </c>
    </row>
    <row r="16" spans="1:10" ht="18" customHeight="1">
      <c r="A16" s="957" t="s">
        <v>224</v>
      </c>
      <c r="B16" s="958" t="s">
        <v>225</v>
      </c>
      <c r="C16" s="960">
        <f>+'100'!P16</f>
        <v>122</v>
      </c>
      <c r="D16" s="960">
        <f>+'102'!P16</f>
        <v>14</v>
      </c>
      <c r="E16" s="960">
        <f>+'104'!P16</f>
        <v>5</v>
      </c>
      <c r="F16" s="960">
        <f>+'106'!P16</f>
        <v>2</v>
      </c>
      <c r="G16" s="986">
        <f>+'108'!P16</f>
        <v>0</v>
      </c>
      <c r="H16" s="962">
        <f>SUM(C16:G16)</f>
        <v>143</v>
      </c>
      <c r="I16" s="987"/>
      <c r="J16" s="988">
        <f>+H16/H28*100</f>
        <v>0.58068707869731184</v>
      </c>
    </row>
    <row r="17" spans="1:10" ht="17.25" customHeight="1">
      <c r="A17" s="957" t="s">
        <v>767</v>
      </c>
      <c r="B17" s="958" t="s">
        <v>768</v>
      </c>
      <c r="C17" s="960">
        <f>+'100'!P17</f>
        <v>1212</v>
      </c>
      <c r="D17" s="960">
        <f>+'102'!P17</f>
        <v>841</v>
      </c>
      <c r="E17" s="960">
        <f>+'104'!P17</f>
        <v>180</v>
      </c>
      <c r="F17" s="960">
        <f>+'106'!P17</f>
        <v>92</v>
      </c>
      <c r="G17" s="986">
        <f>+'108'!P17</f>
        <v>0</v>
      </c>
      <c r="H17" s="962">
        <f t="shared" si="0"/>
        <v>2325</v>
      </c>
      <c r="I17" s="987"/>
      <c r="J17" s="988">
        <f>+H17/H28*100</f>
        <v>9.4412409648339146</v>
      </c>
    </row>
    <row r="18" spans="1:10" ht="17.25" customHeight="1">
      <c r="A18" s="957" t="s">
        <v>771</v>
      </c>
      <c r="B18" s="958" t="s">
        <v>772</v>
      </c>
      <c r="C18" s="960">
        <f>+'100'!P18</f>
        <v>1186</v>
      </c>
      <c r="D18" s="960">
        <f>+'102'!P18</f>
        <v>453</v>
      </c>
      <c r="E18" s="960">
        <f>+'104'!P18</f>
        <v>533</v>
      </c>
      <c r="F18" s="960">
        <f>+'106'!P18</f>
        <v>128</v>
      </c>
      <c r="G18" s="986">
        <f>+'108'!P18</f>
        <v>0</v>
      </c>
      <c r="H18" s="962">
        <f t="shared" si="0"/>
        <v>2300</v>
      </c>
      <c r="I18" s="987"/>
      <c r="J18" s="988">
        <f>+H18/H28*100</f>
        <v>9.3397222447819388</v>
      </c>
    </row>
    <row r="19" spans="1:10" ht="16.5" customHeight="1">
      <c r="A19" s="957" t="s">
        <v>790</v>
      </c>
      <c r="B19" s="958" t="s">
        <v>791</v>
      </c>
      <c r="C19" s="960">
        <f>+'100'!P19</f>
        <v>2269</v>
      </c>
      <c r="D19" s="960">
        <f>+'102'!P19</f>
        <v>1410</v>
      </c>
      <c r="E19" s="960">
        <f>+'104'!P19</f>
        <v>98</v>
      </c>
      <c r="F19" s="960">
        <f>+'106'!P19</f>
        <v>55</v>
      </c>
      <c r="G19" s="986">
        <f>+'108'!P19</f>
        <v>0</v>
      </c>
      <c r="H19" s="962">
        <f t="shared" si="0"/>
        <v>3832</v>
      </c>
      <c r="I19" s="987"/>
      <c r="J19" s="988">
        <f>+H19/H28*100</f>
        <v>15.560789409567125</v>
      </c>
    </row>
    <row r="20" spans="1:10" ht="17.25" customHeight="1">
      <c r="A20" s="957" t="s">
        <v>226</v>
      </c>
      <c r="B20" s="958" t="s">
        <v>227</v>
      </c>
      <c r="C20" s="960">
        <f>+'100'!P20</f>
        <v>118</v>
      </c>
      <c r="D20" s="960">
        <f>+'102'!P20</f>
        <v>105</v>
      </c>
      <c r="E20" s="960">
        <f>+'104'!P20</f>
        <v>69</v>
      </c>
      <c r="F20" s="960">
        <f>+'106'!P20</f>
        <v>22</v>
      </c>
      <c r="G20" s="986">
        <f>+'108'!P20</f>
        <v>0</v>
      </c>
      <c r="H20" s="962">
        <f t="shared" si="0"/>
        <v>314</v>
      </c>
      <c r="I20" s="987"/>
      <c r="J20" s="988">
        <f>+H20/H28*100</f>
        <v>1.2750751238528384</v>
      </c>
    </row>
    <row r="21" spans="1:10" ht="17.25" customHeight="1">
      <c r="A21" s="957" t="s">
        <v>228</v>
      </c>
      <c r="B21" s="958" t="s">
        <v>229</v>
      </c>
      <c r="C21" s="960">
        <f>+'100'!P21</f>
        <v>159</v>
      </c>
      <c r="D21" s="960">
        <f>+'102'!P21</f>
        <v>683</v>
      </c>
      <c r="E21" s="960">
        <f>+'104'!P21</f>
        <v>17</v>
      </c>
      <c r="F21" s="960">
        <f>+'106'!P21</f>
        <v>5</v>
      </c>
      <c r="G21" s="986">
        <f>+'108'!P21</f>
        <v>0</v>
      </c>
      <c r="H21" s="962">
        <f t="shared" si="0"/>
        <v>864</v>
      </c>
      <c r="I21" s="987"/>
      <c r="J21" s="988">
        <f>+H21/H28*100</f>
        <v>3.5084869649963455</v>
      </c>
    </row>
    <row r="22" spans="1:10" ht="16.5" customHeight="1">
      <c r="A22" s="957" t="s">
        <v>792</v>
      </c>
      <c r="B22" s="958" t="s">
        <v>793</v>
      </c>
      <c r="C22" s="960">
        <f>+'100'!P22</f>
        <v>1020</v>
      </c>
      <c r="D22" s="960">
        <f>+'102'!P22</f>
        <v>1105</v>
      </c>
      <c r="E22" s="960">
        <f>+'104'!P22</f>
        <v>140</v>
      </c>
      <c r="F22" s="960">
        <f>+'106'!P22</f>
        <v>71</v>
      </c>
      <c r="G22" s="986">
        <f>+'108'!P22</f>
        <v>0</v>
      </c>
      <c r="H22" s="962">
        <f t="shared" si="0"/>
        <v>2336</v>
      </c>
      <c r="I22" s="987"/>
      <c r="J22" s="988">
        <f>+H22/H28*100</f>
        <v>9.485909201656785</v>
      </c>
    </row>
    <row r="23" spans="1:10" ht="17.25" customHeight="1">
      <c r="A23" s="957" t="s">
        <v>230</v>
      </c>
      <c r="B23" s="958" t="s">
        <v>231</v>
      </c>
      <c r="C23" s="960">
        <f>+'100'!P23</f>
        <v>2966</v>
      </c>
      <c r="D23" s="960">
        <f>+'102'!P23</f>
        <v>2033</v>
      </c>
      <c r="E23" s="960">
        <f>+'104'!P23</f>
        <v>3</v>
      </c>
      <c r="F23" s="960">
        <f>+'106'!P23</f>
        <v>0</v>
      </c>
      <c r="G23" s="986">
        <f>+'108'!P23</f>
        <v>0</v>
      </c>
      <c r="H23" s="962">
        <f t="shared" si="0"/>
        <v>5002</v>
      </c>
      <c r="I23" s="987"/>
      <c r="J23" s="988">
        <f>+H23/H28*100</f>
        <v>20.311865507999673</v>
      </c>
    </row>
    <row r="24" spans="1:10" ht="17.25" customHeight="1">
      <c r="A24" s="957" t="s">
        <v>800</v>
      </c>
      <c r="B24" s="958" t="s">
        <v>801</v>
      </c>
      <c r="C24" s="960">
        <f>+'100'!P24</f>
        <v>328</v>
      </c>
      <c r="D24" s="960">
        <f>+'102'!P24</f>
        <v>311</v>
      </c>
      <c r="E24" s="960">
        <f>+'104'!P24</f>
        <v>0</v>
      </c>
      <c r="F24" s="960">
        <f>+'106'!P24</f>
        <v>0</v>
      </c>
      <c r="G24" s="986">
        <f>+'108'!P24</f>
        <v>0</v>
      </c>
      <c r="H24" s="962">
        <f t="shared" si="0"/>
        <v>639</v>
      </c>
      <c r="I24" s="987"/>
      <c r="J24" s="988">
        <f>+H24/H28*100</f>
        <v>2.5948184845285471</v>
      </c>
    </row>
    <row r="25" spans="1:10" ht="18" customHeight="1">
      <c r="A25" s="957" t="s">
        <v>802</v>
      </c>
      <c r="B25" s="958" t="s">
        <v>803</v>
      </c>
      <c r="C25" s="960">
        <f>+'100'!P25</f>
        <v>185</v>
      </c>
      <c r="D25" s="960">
        <f>+'102'!P25</f>
        <v>52</v>
      </c>
      <c r="E25" s="960">
        <f>+'104'!P25</f>
        <v>1</v>
      </c>
      <c r="F25" s="960">
        <f>+'106'!P25</f>
        <v>1</v>
      </c>
      <c r="G25" s="986">
        <f>+'108'!P25</f>
        <v>0</v>
      </c>
      <c r="H25" s="962">
        <f t="shared" si="0"/>
        <v>239</v>
      </c>
      <c r="I25" s="987"/>
      <c r="J25" s="988">
        <f>+H25/H28*100</f>
        <v>0.97051896369690571</v>
      </c>
    </row>
    <row r="26" spans="1:10" ht="18" customHeight="1">
      <c r="A26" s="957" t="s">
        <v>796</v>
      </c>
      <c r="B26" s="958" t="s">
        <v>817</v>
      </c>
      <c r="C26" s="960">
        <f>+'100'!P26</f>
        <v>6</v>
      </c>
      <c r="D26" s="960">
        <f>+'102'!P26</f>
        <v>164</v>
      </c>
      <c r="E26" s="960">
        <f>+'104'!P26</f>
        <v>49</v>
      </c>
      <c r="F26" s="960">
        <f>+'106'!P26</f>
        <v>33</v>
      </c>
      <c r="G26" s="986">
        <f>+'108'!P26</f>
        <v>0</v>
      </c>
      <c r="H26" s="962">
        <f t="shared" si="0"/>
        <v>252</v>
      </c>
      <c r="I26" s="987"/>
      <c r="J26" s="988">
        <f>+H26/H28*100</f>
        <v>1.0233086981239341</v>
      </c>
    </row>
    <row r="27" spans="1:10" ht="28.5" customHeight="1">
      <c r="A27" s="957" t="s">
        <v>788</v>
      </c>
      <c r="B27" s="963" t="s">
        <v>232</v>
      </c>
      <c r="C27" s="960">
        <f>+'100'!P27</f>
        <v>542</v>
      </c>
      <c r="D27" s="960">
        <f>+'102'!P27</f>
        <v>1400</v>
      </c>
      <c r="E27" s="960">
        <f>+'104'!P27</f>
        <v>147</v>
      </c>
      <c r="F27" s="960">
        <f>+'106'!P27</f>
        <v>46</v>
      </c>
      <c r="G27" s="986">
        <f>+'108'!P27</f>
        <v>5</v>
      </c>
      <c r="H27" s="962">
        <f t="shared" si="0"/>
        <v>2140</v>
      </c>
      <c r="I27" s="987"/>
      <c r="J27" s="988">
        <f>+H27/H28*100</f>
        <v>8.6900024364492818</v>
      </c>
    </row>
    <row r="28" spans="1:10" ht="21.75" customHeight="1">
      <c r="A28" s="964"/>
      <c r="B28" s="964" t="s">
        <v>571</v>
      </c>
      <c r="C28" s="966">
        <f t="shared" ref="C28:H28" si="1">SUM(C10:C27)</f>
        <v>11948</v>
      </c>
      <c r="D28" s="966">
        <f t="shared" si="1"/>
        <v>9671</v>
      </c>
      <c r="E28" s="966">
        <f t="shared" si="1"/>
        <v>1480</v>
      </c>
      <c r="F28" s="966">
        <f t="shared" si="1"/>
        <v>608</v>
      </c>
      <c r="G28" s="966">
        <f t="shared" si="1"/>
        <v>919</v>
      </c>
      <c r="H28" s="968">
        <f t="shared" si="1"/>
        <v>24626</v>
      </c>
      <c r="I28" s="987"/>
      <c r="J28" s="989">
        <f>SUM(J10:J27)</f>
        <v>99.999999999999986</v>
      </c>
    </row>
    <row r="35" ht="18.75" customHeight="1"/>
    <row r="36" ht="23.25" customHeight="1"/>
  </sheetData>
  <phoneticPr fontId="19" type="noConversion"/>
  <pageMargins left="1.7716535433070868" right="0.78740157480314965" top="0.78740157480314965" bottom="0.59055118110236227" header="0.51181102362204722" footer="0.51181102362204722"/>
  <pageSetup paperSize="5" scale="95" orientation="landscape" horizontalDpi="300" verticalDpi="300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90"/>
  <sheetViews>
    <sheetView topLeftCell="A79" workbookViewId="0">
      <selection activeCell="L20" sqref="L20"/>
    </sheetView>
  </sheetViews>
  <sheetFormatPr baseColWidth="10" defaultRowHeight="12.75"/>
  <cols>
    <col min="1" max="1" width="18.42578125" customWidth="1"/>
    <col min="2" max="2" width="9.42578125" customWidth="1"/>
    <col min="3" max="3" width="2.28515625" customWidth="1"/>
    <col min="4" max="4" width="8.28515625" customWidth="1"/>
    <col min="5" max="5" width="8.85546875" customWidth="1"/>
    <col min="6" max="6" width="9.28515625" customWidth="1"/>
    <col min="7" max="7" width="9.140625" customWidth="1"/>
    <col min="8" max="10" width="8.85546875" customWidth="1"/>
    <col min="11" max="11" width="9.42578125" customWidth="1"/>
  </cols>
  <sheetData>
    <row r="1" spans="1:12" ht="15.75">
      <c r="A1" s="140" t="s">
        <v>659</v>
      </c>
      <c r="B1" s="117"/>
      <c r="C1" s="117"/>
      <c r="D1" s="117"/>
      <c r="E1" s="117"/>
      <c r="F1" s="117"/>
      <c r="G1" s="117"/>
      <c r="H1" s="117"/>
      <c r="I1" s="117"/>
      <c r="J1" s="117"/>
      <c r="K1" s="117"/>
    </row>
    <row r="2" spans="1:12">
      <c r="A2" s="117"/>
      <c r="B2" s="117"/>
      <c r="C2" s="117"/>
      <c r="D2" s="117"/>
      <c r="E2" s="117"/>
      <c r="F2" s="117"/>
      <c r="G2" s="117"/>
      <c r="H2" s="117"/>
      <c r="I2" s="117"/>
      <c r="J2" s="117"/>
      <c r="K2" s="117"/>
    </row>
    <row r="3" spans="1:12">
      <c r="A3" s="3">
        <f>+'8'!A3</f>
        <v>2014</v>
      </c>
      <c r="B3" s="117"/>
      <c r="C3" s="117"/>
      <c r="D3" s="117"/>
      <c r="E3" s="117"/>
      <c r="F3" s="117"/>
      <c r="G3" s="117"/>
      <c r="H3" s="117"/>
      <c r="I3" s="117"/>
      <c r="J3" s="117"/>
      <c r="K3" s="117"/>
    </row>
    <row r="5" spans="1:12">
      <c r="B5" s="119"/>
      <c r="D5" s="119"/>
      <c r="E5" s="119"/>
      <c r="F5" s="119"/>
      <c r="G5" s="119"/>
      <c r="H5" s="119"/>
      <c r="I5" s="119"/>
      <c r="J5" s="119"/>
      <c r="K5" s="119"/>
    </row>
    <row r="7" spans="1:12" ht="24.75" customHeight="1">
      <c r="A7" s="120" t="s">
        <v>590</v>
      </c>
      <c r="B7" s="121" t="s">
        <v>571</v>
      </c>
      <c r="C7" s="122"/>
      <c r="D7" s="123" t="s">
        <v>660</v>
      </c>
      <c r="E7" s="141" t="s">
        <v>595</v>
      </c>
      <c r="F7" s="122" t="s">
        <v>596</v>
      </c>
      <c r="G7" s="122" t="s">
        <v>597</v>
      </c>
      <c r="H7" s="122" t="s">
        <v>661</v>
      </c>
      <c r="I7" s="122" t="s">
        <v>662</v>
      </c>
      <c r="J7" s="124" t="s">
        <v>599</v>
      </c>
      <c r="K7" s="142" t="s">
        <v>663</v>
      </c>
    </row>
    <row r="8" spans="1:12">
      <c r="A8" s="65"/>
      <c r="B8" s="133"/>
      <c r="C8" s="133"/>
      <c r="D8" s="133"/>
      <c r="E8" s="133"/>
      <c r="F8" s="133"/>
      <c r="G8" s="133"/>
      <c r="H8" s="133"/>
      <c r="I8" s="133"/>
      <c r="J8" s="133"/>
      <c r="K8" s="143"/>
    </row>
    <row r="9" spans="1:12">
      <c r="A9" s="127" t="s">
        <v>600</v>
      </c>
      <c r="B9" s="125">
        <f>SUM(B10:B15)</f>
        <v>38245.311900000001</v>
      </c>
      <c r="C9" s="128" t="s">
        <v>601</v>
      </c>
      <c r="D9" s="125">
        <f t="shared" ref="D9:K9" si="0">SUM(D10:D15)</f>
        <v>5337.326399999999</v>
      </c>
      <c r="E9" s="125">
        <f t="shared" si="0"/>
        <v>2750.8132999999998</v>
      </c>
      <c r="F9" s="125">
        <f t="shared" si="0"/>
        <v>2909.03</v>
      </c>
      <c r="G9" s="125">
        <f t="shared" si="0"/>
        <v>13651.209199999999</v>
      </c>
      <c r="H9" s="125">
        <f t="shared" si="0"/>
        <v>2614.2433999999998</v>
      </c>
      <c r="I9" s="125">
        <f t="shared" si="0"/>
        <v>6549.6196000000009</v>
      </c>
      <c r="J9" s="125">
        <f t="shared" si="0"/>
        <v>4433.0700000000006</v>
      </c>
      <c r="K9" s="126">
        <f t="shared" si="0"/>
        <v>1463.65</v>
      </c>
    </row>
    <row r="10" spans="1:12">
      <c r="A10" s="44" t="s">
        <v>602</v>
      </c>
      <c r="B10" s="125">
        <f t="shared" ref="B10:B15" si="1">SUM(D10:J10)</f>
        <v>14483.9172</v>
      </c>
      <c r="C10" s="125"/>
      <c r="D10" s="125">
        <f>+SUM('8'!D10:G10)*0.4879</f>
        <v>2037.4703999999999</v>
      </c>
      <c r="E10" s="125">
        <f>+'8'!H10*0.4637</f>
        <v>1051.6715999999999</v>
      </c>
      <c r="F10" s="125">
        <f>+'8'!I10*0.439</f>
        <v>1109.3530000000001</v>
      </c>
      <c r="G10" s="125">
        <f>+'8'!J10*0.4586</f>
        <v>5171.6322</v>
      </c>
      <c r="H10" s="125">
        <f>+'8'!K10*0.152</f>
        <v>978.12</v>
      </c>
      <c r="I10" s="125">
        <f>+'8'!K10*0.382</f>
        <v>2458.17</v>
      </c>
      <c r="J10" s="125">
        <f>+'8'!L10*0.55</f>
        <v>1677.5000000000002</v>
      </c>
      <c r="K10" s="126">
        <f>+'8'!D10*1.35</f>
        <v>575.1</v>
      </c>
      <c r="L10" s="235"/>
    </row>
    <row r="11" spans="1:12">
      <c r="A11" s="44" t="s">
        <v>1335</v>
      </c>
      <c r="B11" s="125">
        <f t="shared" si="1"/>
        <v>14336.465000000002</v>
      </c>
      <c r="C11" s="125"/>
      <c r="D11" s="125">
        <f>+SUM('8'!D11:G11)*0.488</f>
        <v>2001.288</v>
      </c>
      <c r="E11" s="125">
        <f>+'8'!H11*0.463</f>
        <v>1029.249</v>
      </c>
      <c r="F11" s="125">
        <f>+'8'!I11*0.439</f>
        <v>1089.598</v>
      </c>
      <c r="G11" s="125">
        <f>+'8'!J11*0.4586</f>
        <v>5117.9759999999997</v>
      </c>
      <c r="H11" s="125">
        <f>+'8'!K11*0.1527</f>
        <v>982.16640000000007</v>
      </c>
      <c r="I11" s="125">
        <f>+'8'!K11*0.3818</f>
        <v>2455.7375999999999</v>
      </c>
      <c r="J11" s="125">
        <f>+'8'!L11*0.55</f>
        <v>1660.45</v>
      </c>
      <c r="K11" s="126">
        <f>+'8'!D11*1.298</f>
        <v>525.69000000000005</v>
      </c>
    </row>
    <row r="12" spans="1:12">
      <c r="A12" s="44" t="s">
        <v>396</v>
      </c>
      <c r="B12" s="125">
        <f t="shared" si="1"/>
        <v>1944.4090000000001</v>
      </c>
      <c r="C12" s="125"/>
      <c r="D12" s="125">
        <f>+SUM('8'!D12:G12)*0.488</f>
        <v>271.81599999999997</v>
      </c>
      <c r="E12" s="125">
        <f>+'8'!H12*0.467</f>
        <v>140.56700000000001</v>
      </c>
      <c r="F12" s="125">
        <f>+'8'!I12*0.441</f>
        <v>148.17599999999999</v>
      </c>
      <c r="G12" s="125">
        <f>+'8'!J12*0.4585</f>
        <v>693.25200000000007</v>
      </c>
      <c r="H12" s="125">
        <f>+'8'!K12*0.152</f>
        <v>132.54399999999998</v>
      </c>
      <c r="I12" s="125">
        <f>+'8'!K12*0.382</f>
        <v>333.10399999999998</v>
      </c>
      <c r="J12" s="125">
        <f>+'8'!L12*0.55</f>
        <v>224.95000000000002</v>
      </c>
      <c r="K12" s="126">
        <f>+'8'!D12*1.34</f>
        <v>73.7</v>
      </c>
    </row>
    <row r="13" spans="1:12">
      <c r="A13" s="44" t="s">
        <v>603</v>
      </c>
      <c r="B13" s="125">
        <f t="shared" si="1"/>
        <v>1170.7179999999998</v>
      </c>
      <c r="C13" s="125"/>
      <c r="D13" s="125">
        <f>+SUM('8'!D13:G13)*0.488</f>
        <v>162.50399999999999</v>
      </c>
      <c r="E13" s="125">
        <f>+'8'!H13*0.47</f>
        <v>85.539999999999992</v>
      </c>
      <c r="F13" s="125">
        <f>+'8'!I13*0.44</f>
        <v>89.320000000000007</v>
      </c>
      <c r="G13" s="125">
        <f>+'8'!J13*0.458</f>
        <v>417.69600000000003</v>
      </c>
      <c r="H13" s="125">
        <f>+'8'!K13*0.153</f>
        <v>80.477999999999994</v>
      </c>
      <c r="I13" s="125">
        <f>+'8'!K13*0.38</f>
        <v>199.88</v>
      </c>
      <c r="J13" s="125">
        <f>+'8'!L13*0.55</f>
        <v>135.30000000000001</v>
      </c>
      <c r="K13" s="126">
        <v>44</v>
      </c>
      <c r="L13" s="234"/>
    </row>
    <row r="14" spans="1:12">
      <c r="A14" s="44" t="s">
        <v>604</v>
      </c>
      <c r="B14" s="125">
        <f t="shared" si="1"/>
        <v>3634.1907000000001</v>
      </c>
      <c r="C14" s="125"/>
      <c r="D14" s="125">
        <f>+SUM('8'!D14:G14)*0.488</f>
        <v>490.928</v>
      </c>
      <c r="E14" s="125">
        <f>+'8'!H14*0.4637</f>
        <v>250.86170000000001</v>
      </c>
      <c r="F14" s="125">
        <f>+'8'!I14*0.44</f>
        <v>268.39999999999998</v>
      </c>
      <c r="G14" s="125">
        <f>+'8'!J14*0.4585</f>
        <v>1297.5550000000001</v>
      </c>
      <c r="H14" s="125">
        <f>+'8'!K14*0.152</f>
        <v>257.488</v>
      </c>
      <c r="I14" s="125">
        <f>+'8'!K14*0.382</f>
        <v>647.10800000000006</v>
      </c>
      <c r="J14" s="125">
        <f>+'8'!L14*0.55</f>
        <v>421.85</v>
      </c>
      <c r="K14" s="126">
        <f>+'8'!D14*1.56</f>
        <v>134.16</v>
      </c>
    </row>
    <row r="15" spans="1:12">
      <c r="A15" s="44" t="s">
        <v>605</v>
      </c>
      <c r="B15" s="125">
        <f t="shared" si="1"/>
        <v>2675.6120000000001</v>
      </c>
      <c r="C15" s="125"/>
      <c r="D15" s="125">
        <f>+SUM('8'!D15:G15)*0.488</f>
        <v>373.32</v>
      </c>
      <c r="E15" s="125">
        <f>+'8'!H15*0.466</f>
        <v>192.92400000000001</v>
      </c>
      <c r="F15" s="125">
        <f>+'8'!I15*0.441</f>
        <v>204.18299999999999</v>
      </c>
      <c r="G15" s="125">
        <f>+'8'!J15*0.458</f>
        <v>953.09800000000007</v>
      </c>
      <c r="H15" s="125">
        <f>+'8'!K15*0.153</f>
        <v>183.447</v>
      </c>
      <c r="I15" s="125">
        <f>+'8'!K15*0.38</f>
        <v>455.62</v>
      </c>
      <c r="J15" s="125">
        <f>+'8'!L15*0.555</f>
        <v>313.02000000000004</v>
      </c>
      <c r="K15" s="126">
        <v>111</v>
      </c>
      <c r="L15" s="234"/>
    </row>
    <row r="16" spans="1:12">
      <c r="A16" s="44"/>
      <c r="B16" s="125"/>
      <c r="C16" s="125"/>
      <c r="D16" s="1179"/>
      <c r="E16" s="1179"/>
      <c r="F16" s="1179"/>
      <c r="G16" s="1179"/>
      <c r="H16" s="1179"/>
      <c r="I16" s="1179"/>
      <c r="J16" s="1179"/>
      <c r="K16" s="1180"/>
      <c r="L16" s="234"/>
    </row>
    <row r="17" spans="1:11">
      <c r="A17" s="127" t="s">
        <v>606</v>
      </c>
      <c r="B17" s="125">
        <f>SUM(B18:B23)</f>
        <v>9061.8069999999989</v>
      </c>
      <c r="C17" s="128" t="s">
        <v>601</v>
      </c>
      <c r="D17" s="125">
        <f t="shared" ref="D17:K17" si="2">SUM(D18:D23)</f>
        <v>1175.8419999999999</v>
      </c>
      <c r="E17" s="125">
        <f t="shared" si="2"/>
        <v>560.51200000000006</v>
      </c>
      <c r="F17" s="125">
        <f t="shared" si="2"/>
        <v>582.58400000000006</v>
      </c>
      <c r="G17" s="125">
        <f t="shared" si="2"/>
        <v>3344.0259999999998</v>
      </c>
      <c r="H17" s="125">
        <f t="shared" si="2"/>
        <v>682.68799999999999</v>
      </c>
      <c r="I17" s="125">
        <f t="shared" si="2"/>
        <v>1724.7950000000001</v>
      </c>
      <c r="J17" s="125">
        <f t="shared" si="2"/>
        <v>991.36</v>
      </c>
      <c r="K17" s="126">
        <f t="shared" si="2"/>
        <v>417.09</v>
      </c>
    </row>
    <row r="18" spans="1:11">
      <c r="A18" s="44" t="s">
        <v>607</v>
      </c>
      <c r="B18" s="125">
        <f t="shared" ref="B18:B23" si="3">SUM(D18:J18)</f>
        <v>5106.2839999999997</v>
      </c>
      <c r="C18" s="125"/>
      <c r="D18" s="125">
        <f>+SUM('8'!D18:G18)*0.479</f>
        <v>669.64199999999994</v>
      </c>
      <c r="E18" s="125">
        <f>+'8'!H18*0.464</f>
        <v>324.33600000000001</v>
      </c>
      <c r="F18" s="125">
        <f>+'8'!I18*0.456</f>
        <v>336.98400000000004</v>
      </c>
      <c r="G18" s="125">
        <f>+'8'!J18*0.511</f>
        <v>1873.326</v>
      </c>
      <c r="H18" s="125">
        <f>+'8'!K18*0.1436</f>
        <v>381.976</v>
      </c>
      <c r="I18" s="125">
        <f>+'8'!K18*0.365</f>
        <v>970.9</v>
      </c>
      <c r="J18" s="125">
        <f>+'8'!L18*0.52</f>
        <v>549.12</v>
      </c>
      <c r="K18" s="126">
        <f>+'8'!D18*1.7</f>
        <v>229.5</v>
      </c>
    </row>
    <row r="19" spans="1:11">
      <c r="A19" s="44" t="s">
        <v>608</v>
      </c>
      <c r="B19" s="125">
        <f t="shared" si="3"/>
        <v>791</v>
      </c>
      <c r="C19" s="125"/>
      <c r="D19" s="125">
        <v>104</v>
      </c>
      <c r="E19" s="125">
        <v>49</v>
      </c>
      <c r="F19" s="125">
        <v>51</v>
      </c>
      <c r="G19" s="125">
        <v>290</v>
      </c>
      <c r="H19" s="125">
        <v>60</v>
      </c>
      <c r="I19" s="125">
        <v>150</v>
      </c>
      <c r="J19" s="125">
        <v>87</v>
      </c>
      <c r="K19" s="126">
        <f>+'8'!D19*1.69</f>
        <v>37.18</v>
      </c>
    </row>
    <row r="20" spans="1:11">
      <c r="A20" s="44" t="s">
        <v>517</v>
      </c>
      <c r="B20" s="125">
        <f t="shared" si="3"/>
        <v>1792</v>
      </c>
      <c r="C20" s="125"/>
      <c r="D20" s="125">
        <v>233</v>
      </c>
      <c r="E20" s="125">
        <v>111</v>
      </c>
      <c r="F20" s="125">
        <v>115</v>
      </c>
      <c r="G20" s="125">
        <v>661</v>
      </c>
      <c r="H20" s="125">
        <v>135</v>
      </c>
      <c r="I20" s="125">
        <v>341</v>
      </c>
      <c r="J20" s="125">
        <v>196</v>
      </c>
      <c r="K20" s="126">
        <f>+'8'!D20*1.69</f>
        <v>82.81</v>
      </c>
    </row>
    <row r="21" spans="1:11">
      <c r="A21" s="44" t="s">
        <v>609</v>
      </c>
      <c r="B21" s="125">
        <f t="shared" si="3"/>
        <v>759</v>
      </c>
      <c r="C21" s="125"/>
      <c r="D21" s="125">
        <v>99</v>
      </c>
      <c r="E21" s="125">
        <v>47</v>
      </c>
      <c r="F21" s="125">
        <v>49</v>
      </c>
      <c r="G21" s="125">
        <v>280</v>
      </c>
      <c r="H21" s="125">
        <v>58</v>
      </c>
      <c r="I21" s="125">
        <v>143</v>
      </c>
      <c r="J21" s="125">
        <v>83</v>
      </c>
      <c r="K21" s="126">
        <f>+'8'!D21*1.69</f>
        <v>35.49</v>
      </c>
    </row>
    <row r="22" spans="1:11">
      <c r="A22" s="44" t="s">
        <v>610</v>
      </c>
      <c r="B22" s="125">
        <f t="shared" si="3"/>
        <v>399</v>
      </c>
      <c r="C22" s="125"/>
      <c r="D22" s="125">
        <v>51</v>
      </c>
      <c r="E22" s="125">
        <v>25</v>
      </c>
      <c r="F22" s="125">
        <v>26</v>
      </c>
      <c r="G22" s="125">
        <v>148</v>
      </c>
      <c r="H22" s="125">
        <v>30</v>
      </c>
      <c r="I22" s="125">
        <v>75</v>
      </c>
      <c r="J22" s="125">
        <v>44</v>
      </c>
      <c r="K22" s="126">
        <f>+'8'!D22*1.69</f>
        <v>16.899999999999999</v>
      </c>
    </row>
    <row r="23" spans="1:11">
      <c r="A23" s="44" t="s">
        <v>611</v>
      </c>
      <c r="B23" s="125">
        <f t="shared" si="3"/>
        <v>214.52300000000002</v>
      </c>
      <c r="C23" s="125"/>
      <c r="D23" s="125">
        <f>+SUM('8'!D23:G23)*0.48</f>
        <v>19.2</v>
      </c>
      <c r="E23" s="125">
        <f>+'8'!H23*0.464</f>
        <v>4.1760000000000002</v>
      </c>
      <c r="F23" s="125">
        <f>+'8'!I23*0.46</f>
        <v>4.6000000000000005</v>
      </c>
      <c r="G23" s="125">
        <f>+'8'!J23*0.524</f>
        <v>91.7</v>
      </c>
      <c r="H23" s="125">
        <f>+'8'!K23*0.144</f>
        <v>17.712</v>
      </c>
      <c r="I23" s="125">
        <f>+'8'!K23*0.365</f>
        <v>44.894999999999996</v>
      </c>
      <c r="J23" s="125">
        <f>+'8'!L23*0.52</f>
        <v>32.24</v>
      </c>
      <c r="K23" s="126">
        <f>+'8'!D23*1.69</f>
        <v>15.209999999999999</v>
      </c>
    </row>
    <row r="24" spans="1:11">
      <c r="A24" s="44"/>
      <c r="B24" s="125"/>
      <c r="C24" s="125"/>
      <c r="D24" s="1179"/>
      <c r="E24" s="1179"/>
      <c r="F24" s="1179"/>
      <c r="G24" s="1179"/>
      <c r="H24" s="1179"/>
      <c r="I24" s="1179"/>
      <c r="J24" s="1179"/>
      <c r="K24" s="125"/>
    </row>
    <row r="25" spans="1:11">
      <c r="A25" s="127" t="s">
        <v>612</v>
      </c>
      <c r="B25" s="125">
        <f>SUM(B26:B27)</f>
        <v>5307</v>
      </c>
      <c r="C25" s="128" t="s">
        <v>601</v>
      </c>
      <c r="D25" s="125">
        <f t="shared" ref="D25:K25" si="4">SUM(D26:D27)</f>
        <v>712</v>
      </c>
      <c r="E25" s="125">
        <f t="shared" si="4"/>
        <v>371</v>
      </c>
      <c r="F25" s="125">
        <f t="shared" si="4"/>
        <v>409</v>
      </c>
      <c r="G25" s="125">
        <f t="shared" si="4"/>
        <v>1850</v>
      </c>
      <c r="H25" s="125">
        <f t="shared" si="4"/>
        <v>410</v>
      </c>
      <c r="I25" s="125">
        <f t="shared" si="4"/>
        <v>937</v>
      </c>
      <c r="J25" s="125">
        <f t="shared" si="4"/>
        <v>618</v>
      </c>
      <c r="K25" s="126">
        <f t="shared" si="4"/>
        <v>250.98</v>
      </c>
    </row>
    <row r="26" spans="1:11">
      <c r="A26" s="44" t="s">
        <v>613</v>
      </c>
      <c r="B26" s="125">
        <f>SUM(D26:J26)</f>
        <v>4447</v>
      </c>
      <c r="C26" s="125"/>
      <c r="D26" s="125">
        <v>597</v>
      </c>
      <c r="E26" s="125">
        <v>311</v>
      </c>
      <c r="F26" s="125">
        <v>343</v>
      </c>
      <c r="G26" s="125">
        <v>1549</v>
      </c>
      <c r="H26" s="125">
        <v>344</v>
      </c>
      <c r="I26" s="125">
        <v>785</v>
      </c>
      <c r="J26" s="125">
        <v>518</v>
      </c>
      <c r="K26" s="126">
        <f>+'8'!D26*1.78</f>
        <v>211.82</v>
      </c>
    </row>
    <row r="27" spans="1:11">
      <c r="A27" s="44" t="s">
        <v>614</v>
      </c>
      <c r="B27" s="125">
        <f>SUM(D27:J27)</f>
        <v>860</v>
      </c>
      <c r="C27" s="125"/>
      <c r="D27" s="125">
        <v>115</v>
      </c>
      <c r="E27" s="125">
        <v>60</v>
      </c>
      <c r="F27" s="125">
        <v>66</v>
      </c>
      <c r="G27" s="125">
        <v>301</v>
      </c>
      <c r="H27" s="125">
        <v>66</v>
      </c>
      <c r="I27" s="125">
        <v>152</v>
      </c>
      <c r="J27" s="125">
        <v>100</v>
      </c>
      <c r="K27" s="126">
        <f>+'8'!D27*1.78</f>
        <v>39.160000000000004</v>
      </c>
    </row>
    <row r="28" spans="1:11">
      <c r="A28" s="44"/>
      <c r="B28" s="125"/>
      <c r="C28" s="125"/>
      <c r="D28" s="125"/>
      <c r="E28" s="125"/>
      <c r="F28" s="125"/>
      <c r="G28" s="125"/>
      <c r="H28" s="125"/>
      <c r="I28" s="125"/>
      <c r="J28" s="125"/>
      <c r="K28" s="126"/>
    </row>
    <row r="29" spans="1:11">
      <c r="A29" s="127" t="s">
        <v>615</v>
      </c>
      <c r="B29" s="125">
        <f>SUM(B30:B32)</f>
        <v>4061.4168000000004</v>
      </c>
      <c r="C29" s="128" t="s">
        <v>601</v>
      </c>
      <c r="D29" s="125">
        <f t="shared" ref="D29:K29" si="5">SUM(D30:D32)</f>
        <v>552.91499999999996</v>
      </c>
      <c r="E29" s="125">
        <f t="shared" si="5"/>
        <v>270.10700000000003</v>
      </c>
      <c r="F29" s="125">
        <f t="shared" si="5"/>
        <v>283.30800000000005</v>
      </c>
      <c r="G29" s="125">
        <f t="shared" si="5"/>
        <v>1474.6107999999999</v>
      </c>
      <c r="H29" s="125">
        <f t="shared" si="5"/>
        <v>318.47700000000003</v>
      </c>
      <c r="I29" s="125">
        <f t="shared" si="5"/>
        <v>664.99599999999998</v>
      </c>
      <c r="J29" s="125">
        <f t="shared" si="5"/>
        <v>497.00299999999999</v>
      </c>
      <c r="K29" s="126">
        <f t="shared" si="5"/>
        <v>169.95</v>
      </c>
    </row>
    <row r="30" spans="1:11">
      <c r="A30" s="44" t="s">
        <v>616</v>
      </c>
      <c r="B30" s="125">
        <f>SUM(D30:J30)</f>
        <v>3104.9930000000004</v>
      </c>
      <c r="C30" s="125"/>
      <c r="D30" s="125">
        <f>+SUM('8'!D30:G30)*0.495</f>
        <v>431.14499999999998</v>
      </c>
      <c r="E30" s="125">
        <f>+'8'!H30*0.49</f>
        <v>212.66</v>
      </c>
      <c r="F30" s="125">
        <f>+'8'!I30*0.458</f>
        <v>222.58800000000002</v>
      </c>
      <c r="G30" s="125">
        <f>+'8'!J30*0.49</f>
        <v>1078.98</v>
      </c>
      <c r="H30" s="125">
        <f>+'8'!K30*0.159</f>
        <v>250.74299999999999</v>
      </c>
      <c r="I30" s="125">
        <f>+'8'!K30*0.332</f>
        <v>523.56400000000008</v>
      </c>
      <c r="J30" s="125">
        <f>+'8'!L30*0.509</f>
        <v>385.31299999999999</v>
      </c>
      <c r="K30" s="126">
        <f>+'8'!D30*1.505</f>
        <v>135.44999999999999</v>
      </c>
    </row>
    <row r="31" spans="1:11">
      <c r="A31" s="44" t="s">
        <v>617</v>
      </c>
      <c r="B31" s="125">
        <f>SUM(D31:J31)</f>
        <v>544.45600000000002</v>
      </c>
      <c r="C31" s="125"/>
      <c r="D31" s="125">
        <f>+SUM('8'!D31:G31)*0.495</f>
        <v>71.28</v>
      </c>
      <c r="E31" s="125">
        <f>+'8'!H31*0.491</f>
        <v>36.825000000000003</v>
      </c>
      <c r="F31" s="125">
        <f>+'8'!I31*0.46</f>
        <v>39.1</v>
      </c>
      <c r="G31" s="125">
        <f>+'8'!J31*0.49</f>
        <v>213.64</v>
      </c>
      <c r="H31" s="125">
        <f>+'8'!K31*0.159</f>
        <v>38.319000000000003</v>
      </c>
      <c r="I31" s="125">
        <f>+'8'!K31*0.332</f>
        <v>80.012</v>
      </c>
      <c r="J31" s="125">
        <f>+'8'!L31*0.51</f>
        <v>65.28</v>
      </c>
      <c r="K31" s="126">
        <f>+'8'!D31*1.5</f>
        <v>18</v>
      </c>
    </row>
    <row r="32" spans="1:11">
      <c r="A32" s="44" t="s">
        <v>618</v>
      </c>
      <c r="B32" s="125">
        <f>SUM(D32:J32)</f>
        <v>411.96780000000007</v>
      </c>
      <c r="C32" s="125"/>
      <c r="D32" s="125">
        <f>+SUM('8'!D32:G32)*0.495</f>
        <v>50.49</v>
      </c>
      <c r="E32" s="125">
        <f>+'8'!H32*0.491</f>
        <v>20.622</v>
      </c>
      <c r="F32" s="125">
        <f>+'8'!I32*0.46</f>
        <v>21.62</v>
      </c>
      <c r="G32" s="125">
        <f>+'8'!J32*0.4932</f>
        <v>181.99080000000001</v>
      </c>
      <c r="H32" s="125">
        <f>+'8'!K32*0.159</f>
        <v>29.414999999999999</v>
      </c>
      <c r="I32" s="125">
        <f>+'8'!K32*0.332</f>
        <v>61.42</v>
      </c>
      <c r="J32" s="125">
        <f>+'8'!L32*0.51</f>
        <v>46.410000000000004</v>
      </c>
      <c r="K32" s="126">
        <f>+'8'!D32*1.5</f>
        <v>16.5</v>
      </c>
    </row>
    <row r="33" spans="1:12">
      <c r="A33" s="44"/>
      <c r="B33" s="125"/>
      <c r="C33" s="125"/>
      <c r="D33" s="125"/>
      <c r="E33" s="125"/>
      <c r="F33" s="125"/>
      <c r="G33" s="125"/>
      <c r="H33" s="125"/>
      <c r="I33" s="125"/>
      <c r="J33" s="125"/>
      <c r="K33" s="126"/>
    </row>
    <row r="34" spans="1:12">
      <c r="A34" s="127" t="s">
        <v>619</v>
      </c>
      <c r="B34" s="125">
        <f>SUM(D34:J34)</f>
        <v>56675.535700000008</v>
      </c>
      <c r="C34" s="128" t="s">
        <v>601</v>
      </c>
      <c r="D34" s="125">
        <f t="shared" ref="D34:K34" si="6">+D29+D25+D17+D9</f>
        <v>7778.0833999999986</v>
      </c>
      <c r="E34" s="125">
        <f t="shared" si="6"/>
        <v>3952.4322999999999</v>
      </c>
      <c r="F34" s="125">
        <f t="shared" si="6"/>
        <v>4183.9220000000005</v>
      </c>
      <c r="G34" s="125">
        <f t="shared" si="6"/>
        <v>20319.845999999998</v>
      </c>
      <c r="H34" s="125">
        <f t="shared" si="6"/>
        <v>4025.4083999999998</v>
      </c>
      <c r="I34" s="125">
        <f t="shared" si="6"/>
        <v>9876.4106000000011</v>
      </c>
      <c r="J34" s="125">
        <f t="shared" si="6"/>
        <v>6539.4330000000009</v>
      </c>
      <c r="K34" s="126">
        <f t="shared" si="6"/>
        <v>2301.67</v>
      </c>
    </row>
    <row r="35" spans="1:12">
      <c r="A35" s="44"/>
      <c r="B35" s="125"/>
      <c r="C35" s="125"/>
      <c r="D35" s="125"/>
      <c r="E35" s="125"/>
      <c r="F35" s="125"/>
      <c r="G35" s="125"/>
      <c r="H35" s="125"/>
      <c r="I35" s="125"/>
      <c r="J35" s="125"/>
      <c r="K35" s="126"/>
    </row>
    <row r="36" spans="1:12">
      <c r="A36" s="44"/>
      <c r="B36" s="144"/>
      <c r="C36" s="125"/>
      <c r="D36" s="125"/>
      <c r="E36" s="125"/>
      <c r="F36" s="125"/>
      <c r="G36" s="125"/>
      <c r="H36" s="125"/>
      <c r="I36" s="125"/>
      <c r="J36" s="125"/>
      <c r="K36" s="126"/>
    </row>
    <row r="37" spans="1:12">
      <c r="A37" s="127" t="s">
        <v>488</v>
      </c>
      <c r="B37" s="125">
        <f>SUM(B38:B41)</f>
        <v>41784</v>
      </c>
      <c r="C37" s="128" t="s">
        <v>601</v>
      </c>
      <c r="D37" s="125">
        <f t="shared" ref="D37:K37" si="7">SUM(D38:D41)</f>
        <v>5922</v>
      </c>
      <c r="E37" s="125">
        <f t="shared" si="7"/>
        <v>3023</v>
      </c>
      <c r="F37" s="125">
        <f t="shared" si="7"/>
        <v>3203</v>
      </c>
      <c r="G37" s="125">
        <f t="shared" si="7"/>
        <v>14582</v>
      </c>
      <c r="H37" s="125">
        <f t="shared" si="7"/>
        <v>2782</v>
      </c>
      <c r="I37" s="125">
        <f t="shared" si="7"/>
        <v>7302</v>
      </c>
      <c r="J37" s="125">
        <f t="shared" si="7"/>
        <v>4970</v>
      </c>
      <c r="K37" s="126">
        <f t="shared" si="7"/>
        <v>1722.4599999999998</v>
      </c>
    </row>
    <row r="38" spans="1:12">
      <c r="A38" s="44" t="s">
        <v>620</v>
      </c>
      <c r="B38" s="125">
        <f>SUM(D38:J38)</f>
        <v>18592</v>
      </c>
      <c r="C38" s="125"/>
      <c r="D38" s="125">
        <v>2636</v>
      </c>
      <c r="E38" s="125">
        <v>1345</v>
      </c>
      <c r="F38" s="125">
        <v>1425</v>
      </c>
      <c r="G38" s="125">
        <v>6485</v>
      </c>
      <c r="H38" s="125">
        <v>1238</v>
      </c>
      <c r="I38" s="125">
        <v>3252</v>
      </c>
      <c r="J38" s="125">
        <v>2211</v>
      </c>
      <c r="K38" s="126">
        <f>+'8'!D38*1.44</f>
        <v>763.19999999999993</v>
      </c>
    </row>
    <row r="39" spans="1:12">
      <c r="A39" s="44" t="s">
        <v>731</v>
      </c>
      <c r="B39" s="125">
        <f>SUM(D39:J39)</f>
        <v>17503</v>
      </c>
      <c r="C39" s="125"/>
      <c r="D39" s="125">
        <v>2481</v>
      </c>
      <c r="E39" s="125">
        <v>1267</v>
      </c>
      <c r="F39" s="125">
        <v>1342</v>
      </c>
      <c r="G39" s="125">
        <v>6106</v>
      </c>
      <c r="H39" s="125">
        <v>1165</v>
      </c>
      <c r="I39" s="125">
        <v>3058</v>
      </c>
      <c r="J39" s="125">
        <v>2084</v>
      </c>
      <c r="K39" s="126">
        <f>+'8'!D39*1.44</f>
        <v>718.56</v>
      </c>
    </row>
    <row r="40" spans="1:12">
      <c r="A40" s="44" t="s">
        <v>621</v>
      </c>
      <c r="B40" s="125">
        <f>SUM(D40:J40)</f>
        <v>3726</v>
      </c>
      <c r="C40" s="125"/>
      <c r="D40" s="125">
        <v>527</v>
      </c>
      <c r="E40" s="125">
        <v>269</v>
      </c>
      <c r="F40" s="125">
        <v>286</v>
      </c>
      <c r="G40" s="125">
        <v>1304</v>
      </c>
      <c r="H40" s="125">
        <v>248</v>
      </c>
      <c r="I40" s="125">
        <v>650</v>
      </c>
      <c r="J40" s="125">
        <v>442</v>
      </c>
      <c r="K40" s="126">
        <f>+'8'!D40*1.51</f>
        <v>160.06</v>
      </c>
    </row>
    <row r="41" spans="1:12">
      <c r="A41" s="44" t="s">
        <v>397</v>
      </c>
      <c r="B41" s="125">
        <f>SUM(D41:J41)</f>
        <v>1963</v>
      </c>
      <c r="C41" s="125"/>
      <c r="D41" s="125">
        <v>278</v>
      </c>
      <c r="E41" s="125">
        <v>142</v>
      </c>
      <c r="F41" s="125">
        <v>150</v>
      </c>
      <c r="G41" s="125">
        <v>687</v>
      </c>
      <c r="H41" s="125">
        <v>131</v>
      </c>
      <c r="I41" s="125">
        <v>342</v>
      </c>
      <c r="J41" s="125">
        <v>233</v>
      </c>
      <c r="K41" s="126">
        <f>+'8'!D41*1.44</f>
        <v>80.64</v>
      </c>
    </row>
    <row r="42" spans="1:12">
      <c r="A42" s="44"/>
      <c r="B42" s="125"/>
      <c r="C42" s="125"/>
      <c r="D42" s="125"/>
      <c r="E42" s="125"/>
      <c r="F42" s="125"/>
      <c r="G42" s="125"/>
      <c r="H42" s="125"/>
      <c r="I42" s="125"/>
      <c r="J42" s="125"/>
      <c r="K42" s="126"/>
      <c r="L42" s="119"/>
    </row>
    <row r="43" spans="1:12">
      <c r="A43" s="127" t="s">
        <v>622</v>
      </c>
      <c r="B43" s="125">
        <f>SUM(B44:B54)</f>
        <v>8868.84</v>
      </c>
      <c r="C43" s="128" t="s">
        <v>601</v>
      </c>
      <c r="D43" s="125">
        <f t="shared" ref="D43:K43" si="8">SUM(D44:D54)</f>
        <v>1279.75</v>
      </c>
      <c r="E43" s="125">
        <f t="shared" si="8"/>
        <v>648.06999999999994</v>
      </c>
      <c r="F43" s="125">
        <f t="shared" si="8"/>
        <v>672.26</v>
      </c>
      <c r="G43" s="125">
        <f t="shared" si="8"/>
        <v>3050.1400000000003</v>
      </c>
      <c r="H43" s="125">
        <f t="shared" si="8"/>
        <v>614.65800000000002</v>
      </c>
      <c r="I43" s="125">
        <f t="shared" si="8"/>
        <v>1476.242</v>
      </c>
      <c r="J43" s="125">
        <f t="shared" si="8"/>
        <v>1127.72</v>
      </c>
      <c r="K43" s="126">
        <f t="shared" si="8"/>
        <v>398.88</v>
      </c>
    </row>
    <row r="44" spans="1:12">
      <c r="A44" s="44" t="s">
        <v>623</v>
      </c>
      <c r="B44" s="125">
        <f>SUM(D44:J44)</f>
        <v>3057.5000000000005</v>
      </c>
      <c r="C44" s="125"/>
      <c r="D44" s="125">
        <f>+SUM('8'!D44:G44)*0.5</f>
        <v>399.5</v>
      </c>
      <c r="E44" s="125">
        <f>+'8'!H44*0.51</f>
        <v>217.26</v>
      </c>
      <c r="F44" s="125">
        <f>+'8'!I44*0.505</f>
        <v>228.26</v>
      </c>
      <c r="G44" s="125">
        <f>+'8'!J44*0.52</f>
        <v>1068.6000000000001</v>
      </c>
      <c r="H44" s="125">
        <f>+'8'!K44*0.142</f>
        <v>221.51999999999998</v>
      </c>
      <c r="I44" s="125">
        <f>+'8'!K44*0.334</f>
        <v>521.04000000000008</v>
      </c>
      <c r="J44" s="125">
        <f>+'8'!L44*0.508</f>
        <v>401.32</v>
      </c>
      <c r="K44" s="126">
        <f>+'8'!D44*1.56</f>
        <v>129.48000000000002</v>
      </c>
    </row>
    <row r="45" spans="1:12">
      <c r="A45" s="44" t="s">
        <v>624</v>
      </c>
      <c r="B45" s="125">
        <f>SUM(D45:J45)</f>
        <v>1279</v>
      </c>
      <c r="C45" s="125"/>
      <c r="D45" s="125">
        <v>185</v>
      </c>
      <c r="E45" s="125">
        <v>93</v>
      </c>
      <c r="F45" s="125">
        <v>97</v>
      </c>
      <c r="G45" s="125">
        <v>440</v>
      </c>
      <c r="H45" s="125">
        <v>86</v>
      </c>
      <c r="I45" s="125">
        <v>216</v>
      </c>
      <c r="J45" s="125">
        <v>162</v>
      </c>
      <c r="K45" s="126">
        <f>+'8'!D45*1.56</f>
        <v>57.72</v>
      </c>
    </row>
    <row r="46" spans="1:12">
      <c r="A46" s="44" t="s">
        <v>625</v>
      </c>
      <c r="B46" s="125">
        <f>SUM(D46:J46)</f>
        <v>588</v>
      </c>
      <c r="C46" s="125"/>
      <c r="D46" s="125">
        <f>+SUM('8'!D46:G46)*0.5</f>
        <v>93</v>
      </c>
      <c r="E46" s="125">
        <f>+'8'!H46*0.51</f>
        <v>45.9</v>
      </c>
      <c r="F46" s="125">
        <f>+'8'!I46*0.5</f>
        <v>46.5</v>
      </c>
      <c r="G46" s="125">
        <f>+'8'!J46*0.52</f>
        <v>202.8</v>
      </c>
      <c r="H46" s="125">
        <f>+'8'!K46*0.142</f>
        <v>37.629999999999995</v>
      </c>
      <c r="I46" s="125">
        <f>+'8'!K46*0.334</f>
        <v>88.51</v>
      </c>
      <c r="J46" s="125">
        <f>+'8'!L46*0.508</f>
        <v>73.66</v>
      </c>
      <c r="K46" s="126">
        <f>+'8'!D46*1.56</f>
        <v>24.96</v>
      </c>
    </row>
    <row r="47" spans="1:12">
      <c r="A47" s="44" t="s">
        <v>626</v>
      </c>
      <c r="B47" s="125">
        <f>SUM(D47:J47)</f>
        <v>637.4380000000001</v>
      </c>
      <c r="C47" s="125"/>
      <c r="D47" s="125">
        <f>+SUM('8'!D47:G47)*0.5</f>
        <v>100.5</v>
      </c>
      <c r="E47" s="125">
        <f>+'8'!H47*0.51</f>
        <v>46.410000000000004</v>
      </c>
      <c r="F47" s="125">
        <f>+'8'!I47*0.5</f>
        <v>47.5</v>
      </c>
      <c r="G47" s="125">
        <f>+'8'!J47*0.513</f>
        <v>215.46</v>
      </c>
      <c r="H47" s="125">
        <f>+'8'!K47*0.142</f>
        <v>45.155999999999999</v>
      </c>
      <c r="I47" s="125">
        <f>+'8'!K47*0.334</f>
        <v>106.212</v>
      </c>
      <c r="J47" s="125">
        <f>+'8'!L47*0.508</f>
        <v>76.2</v>
      </c>
      <c r="K47" s="126">
        <f>+'8'!D47*1.56</f>
        <v>32.76</v>
      </c>
    </row>
    <row r="48" spans="1:12">
      <c r="A48" s="44" t="s">
        <v>627</v>
      </c>
      <c r="B48" s="125">
        <f t="shared" ref="B48:B53" si="9">SUM(D48:J48)</f>
        <v>528</v>
      </c>
      <c r="C48" s="125"/>
      <c r="D48" s="125">
        <v>76</v>
      </c>
      <c r="E48" s="125">
        <v>39</v>
      </c>
      <c r="F48" s="125">
        <v>40</v>
      </c>
      <c r="G48" s="125">
        <v>182</v>
      </c>
      <c r="H48" s="125">
        <v>35</v>
      </c>
      <c r="I48" s="125">
        <v>89</v>
      </c>
      <c r="J48" s="125">
        <v>67</v>
      </c>
      <c r="K48" s="126">
        <f>+'8'!D48*1.56</f>
        <v>23.400000000000002</v>
      </c>
    </row>
    <row r="49" spans="1:13">
      <c r="A49" s="44" t="s">
        <v>628</v>
      </c>
      <c r="B49" s="125">
        <f t="shared" si="9"/>
        <v>569.04399999999998</v>
      </c>
      <c r="C49" s="125"/>
      <c r="D49" s="125">
        <f>+SUM('8'!D49:G49)*0.5</f>
        <v>91.5</v>
      </c>
      <c r="E49" s="125">
        <f>+'8'!H49*0.5</f>
        <v>45</v>
      </c>
      <c r="F49" s="125">
        <f>+'8'!I49*0.5</f>
        <v>47</v>
      </c>
      <c r="G49" s="125">
        <f>+'8'!J49*0.51</f>
        <v>195.84</v>
      </c>
      <c r="H49" s="125">
        <f>+'8'!K49*0.142</f>
        <v>37.203999999999994</v>
      </c>
      <c r="I49" s="125">
        <f>+'8'!K49*0.33</f>
        <v>86.460000000000008</v>
      </c>
      <c r="J49" s="125">
        <f>+'8'!L49*0.508</f>
        <v>66.040000000000006</v>
      </c>
      <c r="K49" s="126">
        <f>+'8'!D49*1.56</f>
        <v>26.52</v>
      </c>
    </row>
    <row r="50" spans="1:13">
      <c r="A50" s="44" t="s">
        <v>629</v>
      </c>
      <c r="B50" s="125">
        <f t="shared" si="9"/>
        <v>647</v>
      </c>
      <c r="C50" s="125"/>
      <c r="D50" s="125">
        <v>93</v>
      </c>
      <c r="E50" s="125">
        <v>47</v>
      </c>
      <c r="F50" s="125">
        <v>49</v>
      </c>
      <c r="G50" s="125">
        <v>222</v>
      </c>
      <c r="H50" s="125">
        <v>44</v>
      </c>
      <c r="I50" s="125">
        <v>110</v>
      </c>
      <c r="J50" s="125">
        <v>82</v>
      </c>
      <c r="K50" s="126">
        <f>+'8'!D50*1.56</f>
        <v>29.64</v>
      </c>
    </row>
    <row r="51" spans="1:13">
      <c r="A51" s="44" t="s">
        <v>630</v>
      </c>
      <c r="B51" s="125">
        <f t="shared" si="9"/>
        <v>568</v>
      </c>
      <c r="C51" s="125"/>
      <c r="D51" s="125">
        <v>82</v>
      </c>
      <c r="E51" s="125">
        <v>42</v>
      </c>
      <c r="F51" s="125">
        <v>43</v>
      </c>
      <c r="G51" s="125">
        <v>195</v>
      </c>
      <c r="H51" s="125">
        <v>38</v>
      </c>
      <c r="I51" s="125">
        <v>96</v>
      </c>
      <c r="J51" s="125">
        <v>72</v>
      </c>
      <c r="K51" s="126">
        <f>+'8'!D51*1.55</f>
        <v>24.8</v>
      </c>
    </row>
    <row r="52" spans="1:13">
      <c r="A52" s="44" t="s">
        <v>631</v>
      </c>
      <c r="B52" s="125">
        <f t="shared" si="9"/>
        <v>652.46199999999999</v>
      </c>
      <c r="C52" s="125"/>
      <c r="D52" s="125">
        <f>+SUM('8'!D52:G52)*0.49</f>
        <v>99.47</v>
      </c>
      <c r="E52" s="125">
        <f>+'8'!H52*0.5</f>
        <v>46.5</v>
      </c>
      <c r="F52" s="125">
        <f>+'8'!I52*0.5</f>
        <v>47</v>
      </c>
      <c r="G52" s="125">
        <f>+'8'!J52*0.51</f>
        <v>216.75</v>
      </c>
      <c r="H52" s="125">
        <f>+'8'!K52*0.142</f>
        <v>47.711999999999996</v>
      </c>
      <c r="I52" s="125">
        <f>+'8'!K52*0.33</f>
        <v>110.88000000000001</v>
      </c>
      <c r="J52" s="125">
        <f>+'8'!L52*0.51</f>
        <v>84.15</v>
      </c>
      <c r="K52" s="126">
        <f>+'8'!D52*1.55</f>
        <v>31</v>
      </c>
    </row>
    <row r="53" spans="1:13">
      <c r="A53" s="44" t="s">
        <v>632</v>
      </c>
      <c r="B53" s="125">
        <f t="shared" si="9"/>
        <v>153.71600000000001</v>
      </c>
      <c r="C53" s="125"/>
      <c r="D53" s="125">
        <f>+SUM('8'!D53:G53)*0.49</f>
        <v>27.439999999999998</v>
      </c>
      <c r="E53" s="125">
        <f>+'8'!H53*0.5</f>
        <v>12</v>
      </c>
      <c r="F53" s="125">
        <f>+'8'!I53*0.5</f>
        <v>12.5</v>
      </c>
      <c r="G53" s="125">
        <f>+'8'!J53*0.51</f>
        <v>46.92</v>
      </c>
      <c r="H53" s="125">
        <f>+'8'!K53*0.142</f>
        <v>10.366</v>
      </c>
      <c r="I53" s="125">
        <f>+'8'!K53*0.33</f>
        <v>24.09</v>
      </c>
      <c r="J53" s="125">
        <f>+'8'!L53*0.51</f>
        <v>20.399999999999999</v>
      </c>
      <c r="K53" s="126">
        <f>+'8'!D53*1.55</f>
        <v>9.3000000000000007</v>
      </c>
    </row>
    <row r="54" spans="1:13">
      <c r="A54" s="44" t="s">
        <v>633</v>
      </c>
      <c r="B54" s="125">
        <f>SUM(D54:J54)</f>
        <v>188.67999999999998</v>
      </c>
      <c r="C54" s="125"/>
      <c r="D54" s="125">
        <f>+SUM('8'!D54:G54)*0.49</f>
        <v>32.339999999999996</v>
      </c>
      <c r="E54" s="125">
        <f>+'8'!H54*0.5</f>
        <v>14</v>
      </c>
      <c r="F54" s="125">
        <f>+'8'!I54*0.5</f>
        <v>14.5</v>
      </c>
      <c r="G54" s="125">
        <f>+'8'!J54*0.51</f>
        <v>64.77</v>
      </c>
      <c r="H54" s="125">
        <f>+'8'!K54*0.142</f>
        <v>12.069999999999999</v>
      </c>
      <c r="I54" s="125">
        <f>+'8'!K54*0.33</f>
        <v>28.05</v>
      </c>
      <c r="J54" s="125">
        <f>+'8'!L54*0.51</f>
        <v>22.95</v>
      </c>
      <c r="K54" s="126">
        <f>+'8'!D54*1.55</f>
        <v>9.3000000000000007</v>
      </c>
    </row>
    <row r="55" spans="1:13">
      <c r="A55" s="44"/>
      <c r="B55" s="125"/>
      <c r="C55" s="125"/>
      <c r="D55" s="1179"/>
      <c r="E55" s="1179"/>
      <c r="F55" s="1179"/>
      <c r="G55" s="1179"/>
      <c r="H55" s="1179"/>
      <c r="I55" s="1179"/>
      <c r="J55" s="1179"/>
      <c r="K55" s="126"/>
    </row>
    <row r="56" spans="1:13">
      <c r="A56" s="127" t="s">
        <v>634</v>
      </c>
      <c r="B56" s="125">
        <f>SUM(B57:B59)</f>
        <v>7524.8959999999997</v>
      </c>
      <c r="C56" s="128" t="s">
        <v>601</v>
      </c>
      <c r="D56" s="125">
        <f t="shared" ref="D56:K56" si="10">SUM(D57:D59)</f>
        <v>1055.44</v>
      </c>
      <c r="E56" s="125">
        <f t="shared" si="10"/>
        <v>539.625</v>
      </c>
      <c r="F56" s="125">
        <f t="shared" si="10"/>
        <v>569.58100000000002</v>
      </c>
      <c r="G56" s="125">
        <f t="shared" si="10"/>
        <v>2623.07</v>
      </c>
      <c r="H56" s="125">
        <f t="shared" si="10"/>
        <v>486</v>
      </c>
      <c r="I56" s="125">
        <f t="shared" si="10"/>
        <v>1362</v>
      </c>
      <c r="J56" s="125">
        <f t="shared" si="10"/>
        <v>889.18000000000006</v>
      </c>
      <c r="K56" s="126">
        <f t="shared" si="10"/>
        <v>330.66400000000004</v>
      </c>
      <c r="L56" s="133"/>
      <c r="M56" s="133"/>
    </row>
    <row r="57" spans="1:13">
      <c r="A57" s="44" t="s">
        <v>635</v>
      </c>
      <c r="B57" s="125">
        <f>SUM(D57:J57)</f>
        <v>5974</v>
      </c>
      <c r="C57" s="125"/>
      <c r="D57" s="125">
        <v>838</v>
      </c>
      <c r="E57" s="125">
        <v>428</v>
      </c>
      <c r="F57" s="125">
        <v>452</v>
      </c>
      <c r="G57" s="125">
        <v>2080</v>
      </c>
      <c r="H57" s="125">
        <v>388</v>
      </c>
      <c r="I57" s="125">
        <v>1082</v>
      </c>
      <c r="J57" s="125">
        <v>706</v>
      </c>
      <c r="K57" s="126">
        <f>+'8'!D57*1.442</f>
        <v>248.024</v>
      </c>
    </row>
    <row r="58" spans="1:13">
      <c r="A58" s="44" t="s">
        <v>398</v>
      </c>
      <c r="B58" s="125">
        <f>SUM(D58:J58)</f>
        <v>884.07099999999991</v>
      </c>
      <c r="C58" s="125"/>
      <c r="D58" s="125">
        <f>+SUM('8'!D58:G58)*0.48</f>
        <v>123.83999999999999</v>
      </c>
      <c r="E58" s="125">
        <f>+'8'!H58*0.475</f>
        <v>63.65</v>
      </c>
      <c r="F58" s="125">
        <f>+'8'!I58*0.479</f>
        <v>66.581000000000003</v>
      </c>
      <c r="G58" s="125">
        <v>310</v>
      </c>
      <c r="H58" s="125">
        <v>56</v>
      </c>
      <c r="I58" s="125">
        <v>160</v>
      </c>
      <c r="J58" s="125">
        <v>104</v>
      </c>
      <c r="K58" s="126">
        <f>+'8'!D58*1.79</f>
        <v>46.54</v>
      </c>
    </row>
    <row r="59" spans="1:13">
      <c r="A59" s="44" t="s">
        <v>636</v>
      </c>
      <c r="B59" s="125">
        <f>SUM(D59:J59)</f>
        <v>666.82500000000005</v>
      </c>
      <c r="C59" s="125"/>
      <c r="D59" s="125">
        <f>+SUM('8'!D59:G59)*0.48</f>
        <v>93.6</v>
      </c>
      <c r="E59" s="125">
        <f>+'8'!H59*0.475</f>
        <v>47.974999999999994</v>
      </c>
      <c r="F59" s="125">
        <v>51</v>
      </c>
      <c r="G59" s="125">
        <f>+'8'!J59*0.51</f>
        <v>233.07</v>
      </c>
      <c r="H59" s="125">
        <v>42</v>
      </c>
      <c r="I59" s="125">
        <v>120</v>
      </c>
      <c r="J59" s="125">
        <f>+'8'!L59*0.535</f>
        <v>79.180000000000007</v>
      </c>
      <c r="K59" s="126">
        <f>+'8'!D59*1.9</f>
        <v>36.1</v>
      </c>
    </row>
    <row r="60" spans="1:13">
      <c r="A60" s="44"/>
      <c r="B60" s="125"/>
      <c r="C60" s="125"/>
      <c r="D60" s="125"/>
      <c r="E60" s="125"/>
      <c r="F60" s="125"/>
      <c r="G60" s="125"/>
      <c r="H60" s="125"/>
      <c r="I60" s="125"/>
      <c r="J60" s="125"/>
      <c r="K60" s="126"/>
    </row>
    <row r="61" spans="1:13">
      <c r="A61" s="127" t="s">
        <v>637</v>
      </c>
      <c r="B61" s="125">
        <f>SUM(B62:B65)</f>
        <v>3931.1909999999998</v>
      </c>
      <c r="C61" s="128" t="s">
        <v>601</v>
      </c>
      <c r="D61" s="125">
        <f t="shared" ref="D61:K61" si="11">SUM(D62:D65)</f>
        <v>575.45799999999997</v>
      </c>
      <c r="E61" s="125">
        <f t="shared" si="11"/>
        <v>279.37799999999999</v>
      </c>
      <c r="F61" s="125">
        <f t="shared" si="11"/>
        <v>299.55100000000004</v>
      </c>
      <c r="G61" s="125">
        <f t="shared" si="11"/>
        <v>1442.1279999999999</v>
      </c>
      <c r="H61" s="125">
        <f t="shared" si="11"/>
        <v>244.08600000000001</v>
      </c>
      <c r="I61" s="125">
        <f t="shared" si="11"/>
        <v>676.89400000000001</v>
      </c>
      <c r="J61" s="125">
        <f t="shared" si="11"/>
        <v>413.69600000000003</v>
      </c>
      <c r="K61" s="126">
        <f t="shared" si="11"/>
        <v>145.91</v>
      </c>
    </row>
    <row r="62" spans="1:13">
      <c r="A62" s="44" t="s">
        <v>638</v>
      </c>
      <c r="B62" s="125">
        <f>SUM(D62:J62)</f>
        <v>2693.2359999999999</v>
      </c>
      <c r="C62" s="125"/>
      <c r="D62" s="125">
        <f>+SUM('8'!D62:G62)*0.489</f>
        <v>382.39799999999997</v>
      </c>
      <c r="E62" s="125">
        <f>+'8'!H62*0.498</f>
        <v>192.726</v>
      </c>
      <c r="F62" s="125">
        <f>+'8'!I62*0.515</f>
        <v>207.54500000000002</v>
      </c>
      <c r="G62" s="125">
        <f>+'8'!J62*0.521</f>
        <v>964.37099999999998</v>
      </c>
      <c r="H62" s="125">
        <f>+'8'!K62*0.135</f>
        <v>174.15</v>
      </c>
      <c r="I62" s="125">
        <f>+'8'!K62*0.379</f>
        <v>488.91</v>
      </c>
      <c r="J62" s="125">
        <f>+'8'!L62*0.512</f>
        <v>283.13600000000002</v>
      </c>
      <c r="K62" s="126">
        <f>+'8'!D62*1.24</f>
        <v>95.48</v>
      </c>
    </row>
    <row r="63" spans="1:13">
      <c r="A63" s="44" t="s">
        <v>639</v>
      </c>
      <c r="B63" s="125">
        <f>SUM(D63:J63)</f>
        <v>301.06200000000001</v>
      </c>
      <c r="C63" s="125"/>
      <c r="D63" s="125">
        <f>+SUM('8'!D63:G63)*0.49</f>
        <v>45.57</v>
      </c>
      <c r="E63" s="125">
        <f>+'8'!H63*0.498</f>
        <v>17.928000000000001</v>
      </c>
      <c r="F63" s="125">
        <f>+'8'!I63*0.514</f>
        <v>19.532</v>
      </c>
      <c r="G63" s="125">
        <f>+'8'!J63*0.521</f>
        <v>120.872</v>
      </c>
      <c r="H63" s="125">
        <f>+'8'!K63*0.141</f>
        <v>18.047999999999998</v>
      </c>
      <c r="I63" s="125">
        <f>+'8'!K63*0.379</f>
        <v>48.512</v>
      </c>
      <c r="J63" s="125">
        <f>+'8'!L63*0.51</f>
        <v>30.6</v>
      </c>
      <c r="K63" s="126">
        <f>+'8'!D63*1.23</f>
        <v>13.53</v>
      </c>
    </row>
    <row r="64" spans="1:13">
      <c r="A64" s="44" t="s">
        <v>640</v>
      </c>
      <c r="B64" s="125">
        <f>SUM(D64:J64)</f>
        <v>402.77099999999996</v>
      </c>
      <c r="C64" s="125"/>
      <c r="D64" s="125">
        <f>+SUM('8'!D64:G64)*0.49</f>
        <v>61.25</v>
      </c>
      <c r="E64" s="125">
        <f>+'8'!H64*0.498</f>
        <v>29.382000000000001</v>
      </c>
      <c r="F64" s="125">
        <f>+'8'!I64*0.514</f>
        <v>30.84</v>
      </c>
      <c r="G64" s="125">
        <f>+'8'!J64*0.521</f>
        <v>155.779</v>
      </c>
      <c r="H64" s="125">
        <f>+'8'!K64*0.141</f>
        <v>22.418999999999997</v>
      </c>
      <c r="I64" s="125">
        <f>+'8'!K64*0.379</f>
        <v>60.261000000000003</v>
      </c>
      <c r="J64" s="125">
        <f>+'8'!L64*0.51</f>
        <v>42.84</v>
      </c>
      <c r="K64" s="126">
        <f>+'8'!D64*1.23</f>
        <v>15.99</v>
      </c>
    </row>
    <row r="65" spans="1:11">
      <c r="A65" s="44" t="s">
        <v>641</v>
      </c>
      <c r="B65" s="125">
        <f>SUM(D65:J65)</f>
        <v>534.12200000000007</v>
      </c>
      <c r="C65" s="125"/>
      <c r="D65" s="125">
        <f>+SUM('8'!D65:G65)*0.49</f>
        <v>86.24</v>
      </c>
      <c r="E65" s="125">
        <f>+'8'!H65*0.498</f>
        <v>39.341999999999999</v>
      </c>
      <c r="F65" s="125">
        <f>+'8'!I65*0.514</f>
        <v>41.634</v>
      </c>
      <c r="G65" s="125">
        <f>+'8'!J65*0.521</f>
        <v>201.10599999999999</v>
      </c>
      <c r="H65" s="125">
        <f>+'8'!K65*0.141</f>
        <v>29.468999999999998</v>
      </c>
      <c r="I65" s="125">
        <f>+'8'!K65*0.379</f>
        <v>79.210999999999999</v>
      </c>
      <c r="J65" s="125">
        <f>+'8'!L65*0.51</f>
        <v>57.120000000000005</v>
      </c>
      <c r="K65" s="126">
        <f>+'8'!D65*1.23</f>
        <v>20.91</v>
      </c>
    </row>
    <row r="66" spans="1:11">
      <c r="A66" s="44"/>
      <c r="B66" s="125"/>
      <c r="C66" s="125"/>
      <c r="D66" s="125"/>
      <c r="E66" s="125"/>
      <c r="F66" s="125"/>
      <c r="G66" s="125"/>
      <c r="H66" s="125"/>
      <c r="I66" s="125"/>
      <c r="J66" s="125"/>
      <c r="K66" s="126"/>
    </row>
    <row r="67" spans="1:11">
      <c r="A67" s="127" t="s">
        <v>642</v>
      </c>
      <c r="B67" s="125">
        <f>SUM(B68:B71)</f>
        <v>12052.3454</v>
      </c>
      <c r="C67" s="128" t="s">
        <v>601</v>
      </c>
      <c r="D67" s="125">
        <f t="shared" ref="D67:K67" si="12">SUM(D68:D71)</f>
        <v>1681.4727000000003</v>
      </c>
      <c r="E67" s="125">
        <f t="shared" si="12"/>
        <v>824.23290000000009</v>
      </c>
      <c r="F67" s="125">
        <f t="shared" si="12"/>
        <v>867.50810000000013</v>
      </c>
      <c r="G67" s="125">
        <f t="shared" si="12"/>
        <v>4372.5767999999998</v>
      </c>
      <c r="H67" s="125">
        <f t="shared" si="12"/>
        <v>823.66819999999996</v>
      </c>
      <c r="I67" s="125">
        <f t="shared" si="12"/>
        <v>2072.9746999999998</v>
      </c>
      <c r="J67" s="125">
        <f t="shared" si="12"/>
        <v>1409.912</v>
      </c>
      <c r="K67" s="126">
        <f t="shared" si="12"/>
        <v>603.75</v>
      </c>
    </row>
    <row r="68" spans="1:11">
      <c r="A68" s="44" t="s">
        <v>643</v>
      </c>
      <c r="B68" s="125">
        <f>SUM(D68:J68)</f>
        <v>9843.4112000000005</v>
      </c>
      <c r="C68" s="125"/>
      <c r="D68" s="125">
        <f>+SUM('8'!D68:G68)*0.4863</f>
        <v>1434.0987</v>
      </c>
      <c r="E68" s="125">
        <f>+'8'!H68*0.4857</f>
        <v>704.75070000000005</v>
      </c>
      <c r="F68" s="125">
        <f>+'8'!I68*0.49429</f>
        <v>736.49210000000005</v>
      </c>
      <c r="G68" s="125">
        <f>+'8'!J68*0.5102</f>
        <v>3486.7067999999999</v>
      </c>
      <c r="H68" s="125">
        <f>+'8'!K68*0.1426</f>
        <v>666.9402</v>
      </c>
      <c r="I68" s="125">
        <f>+'8'!K68*0.3591</f>
        <v>1679.5106999999998</v>
      </c>
      <c r="J68" s="125">
        <f>+'8'!L68*0.552</f>
        <v>1134.912</v>
      </c>
      <c r="K68" s="126">
        <f>+'8'!D68*1.75</f>
        <v>504</v>
      </c>
    </row>
    <row r="69" spans="1:11">
      <c r="A69" s="44" t="s">
        <v>644</v>
      </c>
      <c r="B69" s="125">
        <f>SUM(D69:J69)</f>
        <v>243.89920000000001</v>
      </c>
      <c r="C69" s="125"/>
      <c r="D69" s="125">
        <f>+SUM('8'!D69:G69)*0.486</f>
        <v>31.103999999999999</v>
      </c>
      <c r="E69" s="125">
        <f>+'8'!H69*0.4857</f>
        <v>11.6568</v>
      </c>
      <c r="F69" s="125">
        <f>+'8'!I69*0.4944</f>
        <v>12.8544</v>
      </c>
      <c r="G69" s="125">
        <f>+'8'!J69*0.51</f>
        <v>88.23</v>
      </c>
      <c r="H69" s="125">
        <f>+'8'!K69*0.143</f>
        <v>18.160999999999998</v>
      </c>
      <c r="I69" s="125">
        <f>+'8'!K69*0.359</f>
        <v>45.592999999999996</v>
      </c>
      <c r="J69" s="125">
        <f>+'8'!L69*0.55</f>
        <v>36.300000000000004</v>
      </c>
      <c r="K69" s="126">
        <f>+'8'!D69*1.75</f>
        <v>17.5</v>
      </c>
    </row>
    <row r="70" spans="1:11">
      <c r="A70" s="44" t="s">
        <v>645</v>
      </c>
      <c r="B70" s="125">
        <f>SUM(D70:J70)</f>
        <v>1261.1895000000002</v>
      </c>
      <c r="C70" s="125"/>
      <c r="D70" s="125">
        <f>+SUM('8'!D70:G70)*0.486</f>
        <v>138.99600000000001</v>
      </c>
      <c r="E70" s="125">
        <f>+'8'!H70*0.4857</f>
        <v>71.397900000000007</v>
      </c>
      <c r="F70" s="125">
        <f>+'8'!I70*0.4944</f>
        <v>78.6096</v>
      </c>
      <c r="G70" s="125">
        <f>+'8'!J70*0.51</f>
        <v>508.98</v>
      </c>
      <c r="H70" s="125">
        <f>+'8'!K70*0.143</f>
        <v>89.803999999999988</v>
      </c>
      <c r="I70" s="125">
        <f>+'8'!K70*0.359</f>
        <v>225.452</v>
      </c>
      <c r="J70" s="125">
        <f>+'8'!L70*0.55</f>
        <v>147.95000000000002</v>
      </c>
      <c r="K70" s="126">
        <f>+'8'!D70*1.75</f>
        <v>52.5</v>
      </c>
    </row>
    <row r="71" spans="1:11">
      <c r="A71" s="44" t="s">
        <v>646</v>
      </c>
      <c r="B71" s="125">
        <f>SUM(D71:J71)</f>
        <v>703.84550000000002</v>
      </c>
      <c r="C71" s="125"/>
      <c r="D71" s="125">
        <f>+SUM('8'!D71:G71)*0.486</f>
        <v>77.274000000000001</v>
      </c>
      <c r="E71" s="125">
        <f>+'8'!H71*0.4857</f>
        <v>36.427500000000002</v>
      </c>
      <c r="F71" s="125">
        <f>+'8'!I71*0.4944</f>
        <v>39.552</v>
      </c>
      <c r="G71" s="125">
        <f>+'8'!J71*0.51</f>
        <v>288.66000000000003</v>
      </c>
      <c r="H71" s="125">
        <f>+'8'!K71*0.143</f>
        <v>48.762999999999998</v>
      </c>
      <c r="I71" s="125">
        <f>+'8'!K71*0.359</f>
        <v>122.419</v>
      </c>
      <c r="J71" s="125">
        <f>+'8'!L71*0.55</f>
        <v>90.750000000000014</v>
      </c>
      <c r="K71" s="126">
        <f>+'8'!D71*1.75</f>
        <v>29.75</v>
      </c>
    </row>
    <row r="72" spans="1:11">
      <c r="A72" s="44"/>
      <c r="B72" s="125"/>
      <c r="C72" s="125"/>
      <c r="D72" s="125"/>
      <c r="E72" s="125"/>
      <c r="F72" s="125"/>
      <c r="G72" s="125"/>
      <c r="H72" s="125"/>
      <c r="I72" s="125"/>
      <c r="J72" s="125"/>
      <c r="K72" s="126"/>
    </row>
    <row r="73" spans="1:11">
      <c r="A73" s="127" t="s">
        <v>647</v>
      </c>
      <c r="B73" s="125">
        <f>SUM(B74:B83)</f>
        <v>6573.5101999999979</v>
      </c>
      <c r="C73" s="128" t="s">
        <v>601</v>
      </c>
      <c r="D73" s="125">
        <f t="shared" ref="D73:K73" si="13">SUM(D74:D83)</f>
        <v>941.29300000000012</v>
      </c>
      <c r="E73" s="125">
        <f t="shared" si="13"/>
        <v>472.1232</v>
      </c>
      <c r="F73" s="125">
        <f t="shared" si="13"/>
        <v>484.45</v>
      </c>
      <c r="G73" s="125">
        <f t="shared" si="13"/>
        <v>2362.0769999999998</v>
      </c>
      <c r="H73" s="125">
        <f t="shared" si="13"/>
        <v>438.84899999999993</v>
      </c>
      <c r="I73" s="125">
        <f t="shared" si="13"/>
        <v>1118.0519999999999</v>
      </c>
      <c r="J73" s="125">
        <f t="shared" si="13"/>
        <v>756.66600000000005</v>
      </c>
      <c r="K73" s="126">
        <f t="shared" si="13"/>
        <v>288.41000000000008</v>
      </c>
    </row>
    <row r="74" spans="1:11">
      <c r="A74" s="44" t="s">
        <v>648</v>
      </c>
      <c r="B74" s="125">
        <f t="shared" ref="B74:B87" si="14">SUM(D74:J74)</f>
        <v>3547.1405999999997</v>
      </c>
      <c r="C74" s="125"/>
      <c r="D74" s="125">
        <f>+SUM('8'!D74:G74)*0.485</f>
        <v>470.935</v>
      </c>
      <c r="E74" s="125">
        <f>+'8'!H74*0.4798</f>
        <v>264.84960000000001</v>
      </c>
      <c r="F74" s="125">
        <f>+'8'!I74*0.47</f>
        <v>263.2</v>
      </c>
      <c r="G74" s="125">
        <f>+'8'!J74*0.499</f>
        <v>1237.021</v>
      </c>
      <c r="H74" s="125">
        <f>+'8'!K74*0.141</f>
        <v>248.86499999999998</v>
      </c>
      <c r="I74" s="125">
        <f>+'8'!K74*0.36</f>
        <v>635.4</v>
      </c>
      <c r="J74" s="125">
        <f>+'8'!L74*0.465</f>
        <v>426.87</v>
      </c>
      <c r="K74" s="126">
        <f>+'8'!D74*1.51</f>
        <v>140.43</v>
      </c>
    </row>
    <row r="75" spans="1:11">
      <c r="A75" s="44" t="s">
        <v>328</v>
      </c>
      <c r="B75" s="125">
        <f t="shared" si="14"/>
        <v>513.12880000000007</v>
      </c>
      <c r="C75" s="125"/>
      <c r="D75" s="125">
        <f>+SUM('8'!D75:G75)*0.485</f>
        <v>109.125</v>
      </c>
      <c r="E75" s="125">
        <f>+'8'!H75*0.4798</f>
        <v>46.0608</v>
      </c>
      <c r="F75" s="125">
        <f>+'8'!I75*0.47</f>
        <v>46.529999999999994</v>
      </c>
      <c r="G75" s="125">
        <f>+'8'!J75*0.499</f>
        <v>156.18700000000001</v>
      </c>
      <c r="H75" s="125">
        <f>+'8'!K75*0.144</f>
        <v>29.807999999999996</v>
      </c>
      <c r="I75" s="125">
        <f>+'8'!K75*0.356</f>
        <v>73.691999999999993</v>
      </c>
      <c r="J75" s="125">
        <f>+'8'!L75*0.466</f>
        <v>51.726000000000006</v>
      </c>
      <c r="K75" s="126">
        <f>+'8'!D75*1.51</f>
        <v>27.18</v>
      </c>
    </row>
    <row r="76" spans="1:11">
      <c r="A76" s="44" t="s">
        <v>649</v>
      </c>
      <c r="B76" s="125">
        <f>SUM(D76:J76)</f>
        <v>573.9434</v>
      </c>
      <c r="C76" s="125"/>
      <c r="D76" s="125">
        <f>+SUM('8'!D76:G76)*0.485</f>
        <v>81.965000000000003</v>
      </c>
      <c r="E76" s="125">
        <f>+'8'!H76*0.4798</f>
        <v>35.025399999999998</v>
      </c>
      <c r="F76" s="125">
        <f>+'8'!I76*0.48</f>
        <v>35.519999999999996</v>
      </c>
      <c r="G76" s="125">
        <f>+'8'!J76*0.499</f>
        <v>219.56</v>
      </c>
      <c r="H76" s="125">
        <f>+'8'!K76*0.141</f>
        <v>38.492999999999995</v>
      </c>
      <c r="I76" s="125">
        <f>+'8'!K76*0.36</f>
        <v>98.28</v>
      </c>
      <c r="J76" s="125">
        <f>+'8'!L76*0.465</f>
        <v>65.100000000000009</v>
      </c>
      <c r="K76" s="126">
        <f>+'8'!D76*1.51</f>
        <v>25.67</v>
      </c>
    </row>
    <row r="77" spans="1:11">
      <c r="A77" s="44" t="s">
        <v>650</v>
      </c>
      <c r="B77" s="125">
        <f t="shared" si="14"/>
        <v>151.11539999999999</v>
      </c>
      <c r="C77" s="125"/>
      <c r="D77" s="125">
        <f>+SUM('8'!D77:G77)*0.484</f>
        <v>22.263999999999999</v>
      </c>
      <c r="E77" s="125">
        <f>+'8'!H77*0.4798</f>
        <v>8.6364000000000001</v>
      </c>
      <c r="F77" s="125">
        <f>+'8'!I77*0.48</f>
        <v>9.1199999999999992</v>
      </c>
      <c r="G77" s="125">
        <f>+'8'!J77*0.499</f>
        <v>56.387</v>
      </c>
      <c r="H77" s="125">
        <f>+'8'!K77*0.141</f>
        <v>10.292999999999999</v>
      </c>
      <c r="I77" s="125">
        <f>+'8'!K77*0.36</f>
        <v>26.279999999999998</v>
      </c>
      <c r="J77" s="125">
        <f>+'8'!L77*0.465</f>
        <v>18.135000000000002</v>
      </c>
      <c r="K77" s="126">
        <f>+'8'!D77*1.51</f>
        <v>9.06</v>
      </c>
    </row>
    <row r="78" spans="1:11">
      <c r="A78" s="44" t="s">
        <v>651</v>
      </c>
      <c r="B78" s="125">
        <f t="shared" si="14"/>
        <v>336.69900000000001</v>
      </c>
      <c r="C78" s="125"/>
      <c r="D78" s="125">
        <f>+SUM('8'!D78:G78)*0.484</f>
        <v>49.367999999999995</v>
      </c>
      <c r="E78" s="125">
        <f>+'8'!H78*0.4798</f>
        <v>21.591000000000001</v>
      </c>
      <c r="F78" s="125">
        <f>+'8'!I78*0.48</f>
        <v>22.56</v>
      </c>
      <c r="G78" s="125">
        <f>+'8'!J78*0.499</f>
        <v>134.72999999999999</v>
      </c>
      <c r="H78" s="125">
        <f>+'8'!K78*0.141</f>
        <v>20.444999999999997</v>
      </c>
      <c r="I78" s="125">
        <f>+'8'!K78*0.36</f>
        <v>52.199999999999996</v>
      </c>
      <c r="J78" s="125">
        <f>+'8'!L78*0.465</f>
        <v>35.805</v>
      </c>
      <c r="K78" s="126">
        <f>+'8'!D78*1.51</f>
        <v>16.61</v>
      </c>
    </row>
    <row r="79" spans="1:11">
      <c r="A79" s="44" t="s">
        <v>652</v>
      </c>
      <c r="B79" s="125">
        <f t="shared" si="14"/>
        <v>289.47820000000002</v>
      </c>
      <c r="C79" s="125"/>
      <c r="D79" s="125">
        <f>+SUM('8'!D79:G79)*0.484</f>
        <v>41.623999999999995</v>
      </c>
      <c r="E79" s="125">
        <f>+'8'!H79*0.4798</f>
        <v>18.712199999999999</v>
      </c>
      <c r="F79" s="125">
        <f>+'8'!I79*0.48</f>
        <v>22.56</v>
      </c>
      <c r="G79" s="125">
        <f>+'8'!J79*0.499</f>
        <v>114.77</v>
      </c>
      <c r="H79" s="125">
        <f>+'8'!K79*0.141</f>
        <v>17.201999999999998</v>
      </c>
      <c r="I79" s="125">
        <f>+'8'!K79*0.36</f>
        <v>43.92</v>
      </c>
      <c r="J79" s="125">
        <f>+'8'!L79*0.465</f>
        <v>30.69</v>
      </c>
      <c r="K79" s="126">
        <f>+'8'!D79*1.51</f>
        <v>15.1</v>
      </c>
    </row>
    <row r="80" spans="1:11">
      <c r="A80" s="44" t="s">
        <v>653</v>
      </c>
      <c r="B80" s="125">
        <f t="shared" si="14"/>
        <v>146.7046</v>
      </c>
      <c r="C80" s="125"/>
      <c r="D80" s="125">
        <f>+SUM('8'!D80:G80)*0.484</f>
        <v>21.295999999999999</v>
      </c>
      <c r="E80" s="125">
        <f>+'8'!H80*0.4798</f>
        <v>8.156600000000001</v>
      </c>
      <c r="F80" s="125">
        <f>+'8'!I80*0.48</f>
        <v>10.559999999999999</v>
      </c>
      <c r="G80" s="125">
        <f>+'8'!J80*0.499</f>
        <v>56.886000000000003</v>
      </c>
      <c r="H80" s="125">
        <f>+'8'!K80*0.141</f>
        <v>9.3059999999999992</v>
      </c>
      <c r="I80" s="125">
        <f>+'8'!K80*0.36</f>
        <v>23.759999999999998</v>
      </c>
      <c r="J80" s="125">
        <f>+'8'!L80*0.465</f>
        <v>16.740000000000002</v>
      </c>
      <c r="K80" s="126">
        <f>+'8'!D80*1.51</f>
        <v>9.06</v>
      </c>
    </row>
    <row r="81" spans="1:11">
      <c r="A81" s="44" t="s">
        <v>654</v>
      </c>
      <c r="B81" s="125">
        <f t="shared" si="14"/>
        <v>119.64</v>
      </c>
      <c r="C81" s="125"/>
      <c r="D81" s="125">
        <f>+SUM('8'!D81:G81)*0.484</f>
        <v>18.391999999999999</v>
      </c>
      <c r="E81" s="125">
        <f>+'8'!H81*0.4798</f>
        <v>7.1970000000000001</v>
      </c>
      <c r="F81" s="125">
        <f>+'8'!I81*0.48</f>
        <v>9.6</v>
      </c>
      <c r="G81" s="125">
        <f>+'8'!J81*0.499</f>
        <v>43.911999999999999</v>
      </c>
      <c r="H81" s="125">
        <f>+'8'!K81*0.141</f>
        <v>7.613999999999999</v>
      </c>
      <c r="I81" s="125">
        <f>+'8'!K81*0.36</f>
        <v>19.439999999999998</v>
      </c>
      <c r="J81" s="125">
        <f>+'8'!L81*0.465</f>
        <v>13.485000000000001</v>
      </c>
      <c r="K81" s="126">
        <f>+'8'!D81*1.51</f>
        <v>7.55</v>
      </c>
    </row>
    <row r="82" spans="1:11">
      <c r="A82" s="44" t="s">
        <v>655</v>
      </c>
      <c r="B82" s="125">
        <f t="shared" si="14"/>
        <v>779.10239999999999</v>
      </c>
      <c r="C82" s="125"/>
      <c r="D82" s="125">
        <f>+SUM('8'!D82:G82)*0.484</f>
        <v>107.932</v>
      </c>
      <c r="E82" s="125">
        <f>+'8'!H82*0.4798</f>
        <v>54.217399999999998</v>
      </c>
      <c r="F82" s="125">
        <f>+'8'!I82*0.48</f>
        <v>55.68</v>
      </c>
      <c r="G82" s="125">
        <f>+'8'!J82*0.498</f>
        <v>300.79199999999997</v>
      </c>
      <c r="H82" s="125">
        <f>+'8'!K82*0.141</f>
        <v>49.490999999999993</v>
      </c>
      <c r="I82" s="125">
        <f>+'8'!K82*0.36</f>
        <v>126.36</v>
      </c>
      <c r="J82" s="125">
        <f>+'8'!L82*0.465</f>
        <v>84.63000000000001</v>
      </c>
      <c r="K82" s="126">
        <f>+'8'!D82*1.51</f>
        <v>30.2</v>
      </c>
    </row>
    <row r="83" spans="1:11">
      <c r="A83" s="44" t="s">
        <v>656</v>
      </c>
      <c r="B83" s="125">
        <f t="shared" si="14"/>
        <v>116.5578</v>
      </c>
      <c r="C83" s="125"/>
      <c r="D83" s="125">
        <f>+SUM('8'!D83:G83)*0.484</f>
        <v>18.391999999999999</v>
      </c>
      <c r="E83" s="125">
        <f>+'8'!H83*0.4798</f>
        <v>7.6768000000000001</v>
      </c>
      <c r="F83" s="125">
        <f>+'8'!I83*0.48</f>
        <v>9.1199999999999992</v>
      </c>
      <c r="G83" s="125">
        <f>+'8'!J83*0.498</f>
        <v>41.832000000000001</v>
      </c>
      <c r="H83" s="125">
        <f>+'8'!K83*0.141</f>
        <v>7.331999999999999</v>
      </c>
      <c r="I83" s="125">
        <f>+'8'!K83*0.36</f>
        <v>18.72</v>
      </c>
      <c r="J83" s="125">
        <f>+'8'!L83*0.465</f>
        <v>13.485000000000001</v>
      </c>
      <c r="K83" s="126">
        <f>+'8'!D83*1.51</f>
        <v>7.55</v>
      </c>
    </row>
    <row r="84" spans="1:11">
      <c r="A84" s="44"/>
      <c r="B84" s="125"/>
      <c r="C84" s="125"/>
      <c r="D84" s="1179"/>
      <c r="E84" s="1179"/>
      <c r="F84" s="1179"/>
      <c r="G84" s="1179"/>
      <c r="H84" s="1179"/>
      <c r="I84" s="1179"/>
      <c r="J84" s="1179"/>
      <c r="K84" s="126"/>
    </row>
    <row r="85" spans="1:11">
      <c r="A85" s="127" t="s">
        <v>657</v>
      </c>
      <c r="B85" s="125">
        <f t="shared" si="14"/>
        <v>80734.782600000006</v>
      </c>
      <c r="C85" s="128" t="s">
        <v>601</v>
      </c>
      <c r="D85" s="125">
        <f t="shared" ref="D85:K85" si="15">+D73+D67+D61+D56+D43+D37</f>
        <v>11455.413700000001</v>
      </c>
      <c r="E85" s="125">
        <f t="shared" si="15"/>
        <v>5786.4290999999994</v>
      </c>
      <c r="F85" s="125">
        <f t="shared" si="15"/>
        <v>6096.3501000000006</v>
      </c>
      <c r="G85" s="125">
        <f t="shared" si="15"/>
        <v>28431.9918</v>
      </c>
      <c r="H85" s="125">
        <f t="shared" si="15"/>
        <v>5389.2611999999999</v>
      </c>
      <c r="I85" s="125">
        <f t="shared" si="15"/>
        <v>14008.162700000001</v>
      </c>
      <c r="J85" s="125">
        <f t="shared" si="15"/>
        <v>9567.1739999999991</v>
      </c>
      <c r="K85" s="126">
        <f t="shared" si="15"/>
        <v>3490.0739999999996</v>
      </c>
    </row>
    <row r="86" spans="1:11">
      <c r="A86" s="44"/>
      <c r="B86" s="125"/>
      <c r="C86" s="125"/>
      <c r="D86" s="125"/>
      <c r="E86" s="125"/>
      <c r="F86" s="125"/>
      <c r="G86" s="125"/>
      <c r="H86" s="125"/>
      <c r="I86" s="125"/>
      <c r="J86" s="125"/>
      <c r="K86" s="126"/>
    </row>
    <row r="87" spans="1:11" ht="18.75" customHeight="1">
      <c r="A87" s="134" t="s">
        <v>658</v>
      </c>
      <c r="B87" s="135">
        <f t="shared" si="14"/>
        <v>137410.31829999998</v>
      </c>
      <c r="C87" s="136" t="s">
        <v>601</v>
      </c>
      <c r="D87" s="135">
        <f t="shared" ref="D87:K87" si="16">+D34+D85</f>
        <v>19233.497100000001</v>
      </c>
      <c r="E87" s="145">
        <f t="shared" si="16"/>
        <v>9738.8613999999998</v>
      </c>
      <c r="F87" s="145">
        <f t="shared" si="16"/>
        <v>10280.272100000002</v>
      </c>
      <c r="G87" s="145">
        <f t="shared" si="16"/>
        <v>48751.837799999994</v>
      </c>
      <c r="H87" s="145">
        <f t="shared" si="16"/>
        <v>9414.6695999999993</v>
      </c>
      <c r="I87" s="145">
        <f t="shared" si="16"/>
        <v>23884.573300000004</v>
      </c>
      <c r="J87" s="145">
        <f t="shared" si="16"/>
        <v>16106.607</v>
      </c>
      <c r="K87" s="146">
        <f t="shared" si="16"/>
        <v>5791.7439999999997</v>
      </c>
    </row>
    <row r="88" spans="1:11">
      <c r="A88" t="str">
        <f>+'8'!A88</f>
        <v>Nota: *  Proyección  Censo  2002</v>
      </c>
    </row>
    <row r="89" spans="1:11">
      <c r="B89" s="119"/>
      <c r="D89" s="119"/>
      <c r="E89" s="119"/>
      <c r="F89" s="119"/>
      <c r="G89" s="119"/>
      <c r="H89" s="119"/>
      <c r="I89" s="119"/>
      <c r="J89" s="119"/>
      <c r="K89" s="119"/>
    </row>
    <row r="90" spans="1:11">
      <c r="D90" s="119"/>
      <c r="E90" s="119"/>
      <c r="F90" s="119"/>
      <c r="G90" s="119"/>
      <c r="H90" s="119"/>
      <c r="I90" s="119"/>
      <c r="J90" s="119"/>
      <c r="K90" s="119"/>
    </row>
  </sheetData>
  <phoneticPr fontId="19" type="noConversion"/>
  <pageMargins left="1.5748031496062993" right="0.74" top="0.62" bottom="0.59055118110236227" header="0.51181102362204722" footer="0.51181102362204722"/>
  <pageSetup paperSize="5" scale="75" orientation="portrait" horizontalDpi="300" verticalDpi="300" r:id="rId1"/>
  <headerFooter alignWithMargins="0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61"/>
  <sheetViews>
    <sheetView topLeftCell="A34" zoomScale="75" workbookViewId="0">
      <selection activeCell="J19" sqref="J19"/>
    </sheetView>
  </sheetViews>
  <sheetFormatPr baseColWidth="10" defaultRowHeight="12.75"/>
  <cols>
    <col min="1" max="1" width="9.42578125" style="978" customWidth="1"/>
    <col min="2" max="2" width="26.85546875" style="978" customWidth="1"/>
    <col min="3" max="3" width="11.42578125" style="978"/>
    <col min="4" max="4" width="9.85546875" style="978" customWidth="1"/>
    <col min="5" max="5" width="10.85546875" style="978" customWidth="1"/>
    <col min="6" max="6" width="9.28515625" style="978" customWidth="1"/>
    <col min="7" max="8" width="9.5703125" style="978" customWidth="1"/>
    <col min="9" max="10" width="9.28515625" style="978" customWidth="1"/>
    <col min="11" max="12" width="9.7109375" style="978" customWidth="1"/>
    <col min="13" max="13" width="10" style="978" customWidth="1"/>
    <col min="14" max="16" width="8.5703125" style="978" customWidth="1"/>
    <col min="17" max="24" width="8.140625" style="978" customWidth="1"/>
    <col min="25" max="16384" width="11.42578125" style="978"/>
  </cols>
  <sheetData>
    <row r="1" spans="1:18">
      <c r="A1" s="990" t="s">
        <v>217</v>
      </c>
      <c r="B1" s="990"/>
      <c r="C1" s="976"/>
      <c r="D1" s="976"/>
      <c r="E1" s="976"/>
      <c r="F1" s="976"/>
      <c r="G1" s="976"/>
      <c r="H1" s="976"/>
      <c r="I1" s="976"/>
      <c r="J1" s="976"/>
      <c r="K1" s="976"/>
      <c r="L1" s="976"/>
      <c r="M1" s="976"/>
      <c r="N1" s="976"/>
      <c r="O1" s="976"/>
      <c r="P1" s="976"/>
    </row>
    <row r="2" spans="1:18">
      <c r="A2" s="990"/>
      <c r="B2" s="990"/>
      <c r="C2" s="976"/>
      <c r="D2" s="976"/>
      <c r="E2" s="976"/>
      <c r="F2" s="976"/>
      <c r="G2" s="976"/>
      <c r="H2" s="976"/>
      <c r="I2" s="976"/>
      <c r="J2" s="976"/>
      <c r="K2" s="976"/>
      <c r="L2" s="976"/>
      <c r="M2" s="976"/>
      <c r="N2" s="976"/>
      <c r="O2" s="976"/>
      <c r="P2" s="976"/>
    </row>
    <row r="3" spans="1:18">
      <c r="A3" s="990" t="str">
        <f>+'97'!A3</f>
        <v>SERVICIO DE SALUD   ACONCAGUA   2014</v>
      </c>
      <c r="B3" s="990"/>
      <c r="C3" s="976"/>
      <c r="D3" s="976"/>
      <c r="E3" s="976"/>
      <c r="F3" s="976"/>
      <c r="G3" s="976"/>
      <c r="H3" s="976"/>
      <c r="I3" s="976"/>
      <c r="J3" s="976"/>
      <c r="K3" s="976"/>
      <c r="L3" s="976"/>
      <c r="M3" s="976"/>
      <c r="N3" s="976"/>
      <c r="O3" s="976"/>
      <c r="P3" s="976"/>
    </row>
    <row r="4" spans="1:18">
      <c r="A4" s="990"/>
      <c r="B4" s="990"/>
      <c r="C4" s="976"/>
      <c r="D4" s="976"/>
      <c r="E4" s="976"/>
      <c r="F4" s="976"/>
      <c r="G4" s="976"/>
      <c r="H4" s="976"/>
      <c r="I4" s="976"/>
      <c r="J4" s="976"/>
      <c r="K4" s="976"/>
      <c r="L4" s="976"/>
      <c r="M4" s="976"/>
      <c r="N4" s="976"/>
      <c r="O4" s="976"/>
      <c r="P4" s="976"/>
    </row>
    <row r="5" spans="1:18">
      <c r="A5" s="990" t="s">
        <v>238</v>
      </c>
      <c r="B5" s="990"/>
      <c r="C5" s="976"/>
      <c r="D5" s="976"/>
      <c r="E5" s="976"/>
      <c r="F5" s="976"/>
      <c r="G5" s="976"/>
      <c r="H5" s="976"/>
      <c r="I5" s="976"/>
      <c r="J5" s="976"/>
      <c r="K5" s="976"/>
      <c r="L5" s="976"/>
      <c r="M5" s="976"/>
      <c r="N5" s="976"/>
      <c r="O5" s="976"/>
      <c r="P5" s="976"/>
    </row>
    <row r="6" spans="1:18">
      <c r="A6" s="991"/>
    </row>
    <row r="7" spans="1:18" ht="18.75" customHeight="1">
      <c r="A7" s="992" t="s">
        <v>756</v>
      </c>
      <c r="B7" s="943"/>
      <c r="C7" s="944"/>
      <c r="D7" s="945" t="s">
        <v>757</v>
      </c>
      <c r="E7" s="945"/>
      <c r="F7" s="945"/>
      <c r="G7" s="945"/>
      <c r="H7" s="945"/>
      <c r="I7" s="945"/>
      <c r="J7" s="945"/>
      <c r="K7" s="945"/>
      <c r="L7" s="945"/>
      <c r="M7" s="945"/>
      <c r="N7" s="945"/>
      <c r="O7" s="945"/>
      <c r="P7" s="946"/>
    </row>
    <row r="8" spans="1:18" ht="23.25" customHeight="1">
      <c r="A8" s="993" t="s">
        <v>758</v>
      </c>
      <c r="B8" s="994" t="s">
        <v>759</v>
      </c>
      <c r="C8" s="995" t="s">
        <v>760</v>
      </c>
      <c r="D8" s="950" t="s">
        <v>699</v>
      </c>
      <c r="E8" s="951" t="s">
        <v>761</v>
      </c>
      <c r="F8" s="951" t="s">
        <v>762</v>
      </c>
      <c r="G8" s="951" t="s">
        <v>483</v>
      </c>
      <c r="H8" s="995" t="s">
        <v>763</v>
      </c>
      <c r="I8" s="951" t="s">
        <v>764</v>
      </c>
      <c r="J8" s="951" t="s">
        <v>445</v>
      </c>
      <c r="K8" s="951" t="s">
        <v>463</v>
      </c>
      <c r="L8" s="951" t="s">
        <v>468</v>
      </c>
      <c r="M8" s="951" t="s">
        <v>765</v>
      </c>
      <c r="N8" s="951" t="s">
        <v>470</v>
      </c>
      <c r="O8" s="951" t="s">
        <v>766</v>
      </c>
      <c r="P8" s="952" t="s">
        <v>571</v>
      </c>
    </row>
    <row r="9" spans="1:18">
      <c r="A9" s="953"/>
      <c r="B9" s="954"/>
      <c r="C9" s="943"/>
      <c r="D9" s="996"/>
      <c r="E9" s="996"/>
      <c r="F9" s="996"/>
      <c r="G9" s="996"/>
      <c r="H9" s="997"/>
      <c r="I9" s="996"/>
      <c r="J9" s="996"/>
      <c r="K9" s="996"/>
      <c r="L9" s="996"/>
      <c r="M9" s="996"/>
      <c r="N9" s="996"/>
      <c r="O9" s="996"/>
      <c r="P9" s="980"/>
    </row>
    <row r="10" spans="1:18" ht="18" customHeight="1">
      <c r="A10" s="957" t="s">
        <v>794</v>
      </c>
      <c r="B10" s="958" t="s">
        <v>795</v>
      </c>
      <c r="C10" s="959">
        <f>SUM(D10:G10)</f>
        <v>13</v>
      </c>
      <c r="D10" s="998">
        <v>6</v>
      </c>
      <c r="E10" s="998">
        <v>2</v>
      </c>
      <c r="F10" s="998">
        <v>2</v>
      </c>
      <c r="G10" s="998">
        <v>3</v>
      </c>
      <c r="H10" s="999">
        <f>SUM(I10:N10)</f>
        <v>171</v>
      </c>
      <c r="I10" s="1000">
        <v>114</v>
      </c>
      <c r="J10" s="1000">
        <v>6</v>
      </c>
      <c r="K10" s="1000">
        <v>22</v>
      </c>
      <c r="L10" s="1000">
        <v>4</v>
      </c>
      <c r="M10" s="1000">
        <v>12</v>
      </c>
      <c r="N10" s="1000">
        <v>13</v>
      </c>
      <c r="O10" s="1000">
        <v>1</v>
      </c>
      <c r="P10" s="962">
        <f>+O10+H10+C10</f>
        <v>185</v>
      </c>
    </row>
    <row r="11" spans="1:18" ht="20.25" customHeight="1">
      <c r="A11" s="957" t="s">
        <v>769</v>
      </c>
      <c r="B11" s="958" t="s">
        <v>770</v>
      </c>
      <c r="C11" s="959">
        <f t="shared" ref="C11:C27" si="0">SUM(D11:G11)</f>
        <v>39</v>
      </c>
      <c r="D11" s="998">
        <v>22</v>
      </c>
      <c r="E11" s="998">
        <v>6</v>
      </c>
      <c r="F11" s="998">
        <v>3</v>
      </c>
      <c r="G11" s="998">
        <v>8</v>
      </c>
      <c r="H11" s="999">
        <f>SUM(I11:N11)</f>
        <v>706</v>
      </c>
      <c r="I11" s="1000">
        <v>393</v>
      </c>
      <c r="J11" s="1000">
        <v>74</v>
      </c>
      <c r="K11" s="1000">
        <v>60</v>
      </c>
      <c r="L11" s="1000">
        <v>51</v>
      </c>
      <c r="M11" s="1000">
        <v>72</v>
      </c>
      <c r="N11" s="1000">
        <v>56</v>
      </c>
      <c r="O11" s="1000">
        <v>3</v>
      </c>
      <c r="P11" s="962">
        <f t="shared" ref="P11:P27" si="1">+O11+H11+C11</f>
        <v>748</v>
      </c>
      <c r="Q11" s="977"/>
      <c r="R11" s="977"/>
    </row>
    <row r="12" spans="1:18" ht="19.5" customHeight="1">
      <c r="A12" s="957" t="s">
        <v>218</v>
      </c>
      <c r="B12" s="958" t="s">
        <v>219</v>
      </c>
      <c r="C12" s="959">
        <f t="shared" si="0"/>
        <v>20</v>
      </c>
      <c r="D12" s="998">
        <v>20</v>
      </c>
      <c r="E12" s="998"/>
      <c r="F12" s="998"/>
      <c r="G12" s="998"/>
      <c r="H12" s="999">
        <f>SUM(I12:N12)</f>
        <v>93</v>
      </c>
      <c r="I12" s="1000">
        <v>58</v>
      </c>
      <c r="J12" s="1000">
        <v>13</v>
      </c>
      <c r="K12" s="1000">
        <v>6</v>
      </c>
      <c r="L12" s="1000">
        <v>4</v>
      </c>
      <c r="M12" s="1000">
        <v>12</v>
      </c>
      <c r="N12" s="1000"/>
      <c r="O12" s="1000"/>
      <c r="P12" s="962">
        <f t="shared" si="1"/>
        <v>113</v>
      </c>
      <c r="Q12" s="977"/>
    </row>
    <row r="13" spans="1:18" ht="20.25" customHeight="1">
      <c r="A13" s="957" t="s">
        <v>798</v>
      </c>
      <c r="B13" s="958" t="s">
        <v>799</v>
      </c>
      <c r="C13" s="959">
        <f t="shared" si="0"/>
        <v>33</v>
      </c>
      <c r="D13" s="998">
        <v>21</v>
      </c>
      <c r="E13" s="998">
        <v>6</v>
      </c>
      <c r="F13" s="998">
        <v>2</v>
      </c>
      <c r="G13" s="998">
        <v>4</v>
      </c>
      <c r="H13" s="999">
        <f>SUM(I13:N13)</f>
        <v>322</v>
      </c>
      <c r="I13" s="1000">
        <v>194</v>
      </c>
      <c r="J13" s="1000">
        <v>44</v>
      </c>
      <c r="K13" s="1000">
        <v>34</v>
      </c>
      <c r="L13" s="1000">
        <v>17</v>
      </c>
      <c r="M13" s="1000">
        <v>20</v>
      </c>
      <c r="N13" s="1000">
        <v>13</v>
      </c>
      <c r="O13" s="1000">
        <v>44</v>
      </c>
      <c r="P13" s="962">
        <f t="shared" si="1"/>
        <v>399</v>
      </c>
      <c r="Q13" s="977"/>
    </row>
    <row r="14" spans="1:18" ht="19.5" customHeight="1">
      <c r="A14" s="957" t="s">
        <v>220</v>
      </c>
      <c r="B14" s="958" t="s">
        <v>221</v>
      </c>
      <c r="C14" s="959">
        <f t="shared" si="0"/>
        <v>9</v>
      </c>
      <c r="D14" s="1000">
        <v>3</v>
      </c>
      <c r="E14" s="1000">
        <v>1</v>
      </c>
      <c r="F14" s="1000">
        <v>2</v>
      </c>
      <c r="G14" s="1000">
        <v>3</v>
      </c>
      <c r="H14" s="959">
        <f t="shared" ref="H14:H27" si="2">SUM(I14:N14)</f>
        <v>60</v>
      </c>
      <c r="I14" s="1000">
        <v>36</v>
      </c>
      <c r="J14" s="1000">
        <v>9</v>
      </c>
      <c r="K14" s="1000">
        <v>4</v>
      </c>
      <c r="L14" s="1000">
        <v>3</v>
      </c>
      <c r="M14" s="1000">
        <v>4</v>
      </c>
      <c r="N14" s="1000">
        <v>4</v>
      </c>
      <c r="O14" s="1000">
        <v>2</v>
      </c>
      <c r="P14" s="962">
        <f t="shared" si="1"/>
        <v>71</v>
      </c>
      <c r="Q14" s="977"/>
    </row>
    <row r="15" spans="1:18" ht="19.5" customHeight="1">
      <c r="A15" s="957" t="s">
        <v>222</v>
      </c>
      <c r="B15" s="958" t="s">
        <v>223</v>
      </c>
      <c r="C15" s="959">
        <f t="shared" si="0"/>
        <v>42</v>
      </c>
      <c r="D15" s="1000">
        <v>25</v>
      </c>
      <c r="E15" s="1000">
        <v>12</v>
      </c>
      <c r="F15" s="1000">
        <v>3</v>
      </c>
      <c r="G15" s="1000">
        <v>2</v>
      </c>
      <c r="H15" s="959">
        <f t="shared" si="2"/>
        <v>270</v>
      </c>
      <c r="I15" s="1000">
        <v>156</v>
      </c>
      <c r="J15" s="1000">
        <v>39</v>
      </c>
      <c r="K15" s="1000">
        <v>25</v>
      </c>
      <c r="L15" s="1000">
        <v>11</v>
      </c>
      <c r="M15" s="1000">
        <v>30</v>
      </c>
      <c r="N15" s="1000">
        <v>9</v>
      </c>
      <c r="O15" s="1000">
        <v>7</v>
      </c>
      <c r="P15" s="962">
        <f t="shared" si="1"/>
        <v>319</v>
      </c>
      <c r="Q15" s="977"/>
    </row>
    <row r="16" spans="1:18" ht="19.5" customHeight="1">
      <c r="A16" s="957" t="s">
        <v>224</v>
      </c>
      <c r="B16" s="958" t="s">
        <v>225</v>
      </c>
      <c r="C16" s="959">
        <f t="shared" si="0"/>
        <v>29</v>
      </c>
      <c r="D16" s="1000">
        <v>20</v>
      </c>
      <c r="E16" s="1000">
        <v>2</v>
      </c>
      <c r="F16" s="1000">
        <v>3</v>
      </c>
      <c r="G16" s="1000">
        <v>4</v>
      </c>
      <c r="H16" s="959">
        <f t="shared" si="2"/>
        <v>93</v>
      </c>
      <c r="I16" s="1000">
        <v>55</v>
      </c>
      <c r="J16" s="1000">
        <v>6</v>
      </c>
      <c r="K16" s="1000">
        <v>7</v>
      </c>
      <c r="L16" s="1000">
        <v>3</v>
      </c>
      <c r="M16" s="1000">
        <v>13</v>
      </c>
      <c r="N16" s="1000">
        <v>9</v>
      </c>
      <c r="O16" s="1000"/>
      <c r="P16" s="962">
        <f t="shared" si="1"/>
        <v>122</v>
      </c>
      <c r="Q16" s="977"/>
    </row>
    <row r="17" spans="1:17" ht="20.25" customHeight="1">
      <c r="A17" s="957" t="s">
        <v>767</v>
      </c>
      <c r="B17" s="958" t="s">
        <v>768</v>
      </c>
      <c r="C17" s="959">
        <f t="shared" si="0"/>
        <v>98</v>
      </c>
      <c r="D17" s="1000">
        <v>60</v>
      </c>
      <c r="E17" s="1000">
        <v>19</v>
      </c>
      <c r="F17" s="1000">
        <v>11</v>
      </c>
      <c r="G17" s="1000">
        <v>8</v>
      </c>
      <c r="H17" s="959">
        <f t="shared" si="2"/>
        <v>1090</v>
      </c>
      <c r="I17" s="1000">
        <v>631</v>
      </c>
      <c r="J17" s="1000">
        <v>90</v>
      </c>
      <c r="K17" s="1000">
        <v>121</v>
      </c>
      <c r="L17" s="1000">
        <v>74</v>
      </c>
      <c r="M17" s="1000">
        <v>103</v>
      </c>
      <c r="N17" s="1000">
        <v>71</v>
      </c>
      <c r="O17" s="1000">
        <v>24</v>
      </c>
      <c r="P17" s="962">
        <f t="shared" si="1"/>
        <v>1212</v>
      </c>
      <c r="Q17" s="977"/>
    </row>
    <row r="18" spans="1:17" ht="19.5" customHeight="1">
      <c r="A18" s="957" t="s">
        <v>771</v>
      </c>
      <c r="B18" s="958" t="s">
        <v>772</v>
      </c>
      <c r="C18" s="959">
        <f t="shared" si="0"/>
        <v>221</v>
      </c>
      <c r="D18" s="1000">
        <v>129</v>
      </c>
      <c r="E18" s="1000">
        <v>43</v>
      </c>
      <c r="F18" s="1000">
        <v>22</v>
      </c>
      <c r="G18" s="1000">
        <v>27</v>
      </c>
      <c r="H18" s="959">
        <f t="shared" si="2"/>
        <v>955</v>
      </c>
      <c r="I18" s="1000">
        <v>559</v>
      </c>
      <c r="J18" s="1000">
        <v>74</v>
      </c>
      <c r="K18" s="1000">
        <v>105</v>
      </c>
      <c r="L18" s="1000">
        <v>56</v>
      </c>
      <c r="M18" s="1000">
        <v>101</v>
      </c>
      <c r="N18" s="1000">
        <v>60</v>
      </c>
      <c r="O18" s="1000">
        <v>10</v>
      </c>
      <c r="P18" s="962">
        <f t="shared" si="1"/>
        <v>1186</v>
      </c>
      <c r="Q18" s="977"/>
    </row>
    <row r="19" spans="1:17" ht="19.5" customHeight="1">
      <c r="A19" s="957" t="s">
        <v>790</v>
      </c>
      <c r="B19" s="958" t="s">
        <v>791</v>
      </c>
      <c r="C19" s="959">
        <f t="shared" si="0"/>
        <v>107</v>
      </c>
      <c r="D19" s="1000">
        <v>62</v>
      </c>
      <c r="E19" s="1000">
        <v>22</v>
      </c>
      <c r="F19" s="1000">
        <v>8</v>
      </c>
      <c r="G19" s="1000">
        <v>15</v>
      </c>
      <c r="H19" s="959">
        <f t="shared" si="2"/>
        <v>2132</v>
      </c>
      <c r="I19" s="1000">
        <v>1115</v>
      </c>
      <c r="J19" s="1000">
        <v>241</v>
      </c>
      <c r="K19" s="1000">
        <v>209</v>
      </c>
      <c r="L19" s="1000">
        <v>92</v>
      </c>
      <c r="M19" s="1000">
        <v>294</v>
      </c>
      <c r="N19" s="1000">
        <v>181</v>
      </c>
      <c r="O19" s="1000">
        <v>30</v>
      </c>
      <c r="P19" s="962">
        <f t="shared" si="1"/>
        <v>2269</v>
      </c>
      <c r="Q19" s="977"/>
    </row>
    <row r="20" spans="1:17" ht="18.75" customHeight="1">
      <c r="A20" s="957" t="s">
        <v>226</v>
      </c>
      <c r="B20" s="958" t="s">
        <v>227</v>
      </c>
      <c r="C20" s="959">
        <f t="shared" si="0"/>
        <v>5</v>
      </c>
      <c r="D20" s="1000">
        <v>4</v>
      </c>
      <c r="E20" s="1000"/>
      <c r="F20" s="1000"/>
      <c r="G20" s="1000">
        <v>1</v>
      </c>
      <c r="H20" s="959">
        <f t="shared" si="2"/>
        <v>111</v>
      </c>
      <c r="I20" s="1000">
        <v>57</v>
      </c>
      <c r="J20" s="1000">
        <v>4</v>
      </c>
      <c r="K20" s="1000">
        <v>15</v>
      </c>
      <c r="L20" s="1000">
        <v>13</v>
      </c>
      <c r="M20" s="1000">
        <v>14</v>
      </c>
      <c r="N20" s="1000">
        <v>8</v>
      </c>
      <c r="O20" s="1000">
        <v>2</v>
      </c>
      <c r="P20" s="962">
        <f t="shared" si="1"/>
        <v>118</v>
      </c>
    </row>
    <row r="21" spans="1:17" ht="19.5" customHeight="1">
      <c r="A21" s="957" t="s">
        <v>228</v>
      </c>
      <c r="B21" s="958" t="s">
        <v>229</v>
      </c>
      <c r="C21" s="959">
        <f t="shared" si="0"/>
        <v>33</v>
      </c>
      <c r="D21" s="1000">
        <v>14</v>
      </c>
      <c r="E21" s="1000">
        <v>11</v>
      </c>
      <c r="F21" s="1000">
        <v>4</v>
      </c>
      <c r="G21" s="1000">
        <v>4</v>
      </c>
      <c r="H21" s="959">
        <f t="shared" si="2"/>
        <v>124</v>
      </c>
      <c r="I21" s="1000">
        <v>51</v>
      </c>
      <c r="J21" s="1000">
        <v>42</v>
      </c>
      <c r="K21" s="1000">
        <v>8</v>
      </c>
      <c r="L21" s="1000">
        <v>3</v>
      </c>
      <c r="M21" s="1000">
        <v>15</v>
      </c>
      <c r="N21" s="1000">
        <v>5</v>
      </c>
      <c r="O21" s="1000">
        <v>2</v>
      </c>
      <c r="P21" s="962">
        <f t="shared" si="1"/>
        <v>159</v>
      </c>
    </row>
    <row r="22" spans="1:17" ht="19.5" customHeight="1">
      <c r="A22" s="957" t="s">
        <v>792</v>
      </c>
      <c r="B22" s="958" t="s">
        <v>793</v>
      </c>
      <c r="C22" s="959">
        <f t="shared" si="0"/>
        <v>83</v>
      </c>
      <c r="D22" s="1000">
        <v>64</v>
      </c>
      <c r="E22" s="1000">
        <v>10</v>
      </c>
      <c r="F22" s="1000">
        <v>4</v>
      </c>
      <c r="G22" s="1000">
        <v>5</v>
      </c>
      <c r="H22" s="959">
        <f t="shared" si="2"/>
        <v>908</v>
      </c>
      <c r="I22" s="1000">
        <v>532</v>
      </c>
      <c r="J22" s="1000">
        <v>72</v>
      </c>
      <c r="K22" s="1000">
        <v>103</v>
      </c>
      <c r="L22" s="1000">
        <v>31</v>
      </c>
      <c r="M22" s="1000">
        <v>111</v>
      </c>
      <c r="N22" s="1000">
        <v>59</v>
      </c>
      <c r="O22" s="1000">
        <v>29</v>
      </c>
      <c r="P22" s="962">
        <f t="shared" si="1"/>
        <v>1020</v>
      </c>
      <c r="Q22" s="977"/>
    </row>
    <row r="23" spans="1:17" ht="18.75" customHeight="1">
      <c r="A23" s="957" t="s">
        <v>230</v>
      </c>
      <c r="B23" s="958" t="s">
        <v>231</v>
      </c>
      <c r="C23" s="959">
        <f t="shared" si="0"/>
        <v>169</v>
      </c>
      <c r="D23" s="1000">
        <v>115</v>
      </c>
      <c r="E23" s="1000">
        <v>30</v>
      </c>
      <c r="F23" s="1000">
        <v>9</v>
      </c>
      <c r="G23" s="1000">
        <v>15</v>
      </c>
      <c r="H23" s="959">
        <f t="shared" si="2"/>
        <v>2772</v>
      </c>
      <c r="I23" s="1000">
        <v>1425</v>
      </c>
      <c r="J23" s="1000">
        <v>250</v>
      </c>
      <c r="K23" s="1000">
        <v>235</v>
      </c>
      <c r="L23" s="1000">
        <v>144</v>
      </c>
      <c r="M23" s="1000">
        <v>468</v>
      </c>
      <c r="N23" s="1000">
        <v>250</v>
      </c>
      <c r="O23" s="1000">
        <v>25</v>
      </c>
      <c r="P23" s="962">
        <f t="shared" si="1"/>
        <v>2966</v>
      </c>
    </row>
    <row r="24" spans="1:17" ht="19.5" customHeight="1">
      <c r="A24" s="957" t="s">
        <v>800</v>
      </c>
      <c r="B24" s="958" t="s">
        <v>801</v>
      </c>
      <c r="C24" s="959">
        <f t="shared" si="0"/>
        <v>59</v>
      </c>
      <c r="D24" s="1000">
        <v>42</v>
      </c>
      <c r="E24" s="1000">
        <v>10</v>
      </c>
      <c r="F24" s="1000"/>
      <c r="G24" s="1000">
        <v>7</v>
      </c>
      <c r="H24" s="959">
        <f>SUM(I24:N24)</f>
        <v>264</v>
      </c>
      <c r="I24" s="1000">
        <v>141</v>
      </c>
      <c r="J24" s="1000">
        <v>19</v>
      </c>
      <c r="K24" s="1000">
        <v>22</v>
      </c>
      <c r="L24" s="1000">
        <v>8</v>
      </c>
      <c r="M24" s="1000">
        <v>55</v>
      </c>
      <c r="N24" s="1000">
        <v>19</v>
      </c>
      <c r="O24" s="1000">
        <v>5</v>
      </c>
      <c r="P24" s="962">
        <f t="shared" si="1"/>
        <v>328</v>
      </c>
    </row>
    <row r="25" spans="1:17" ht="20.25" customHeight="1">
      <c r="A25" s="957" t="s">
        <v>802</v>
      </c>
      <c r="B25" s="958" t="s">
        <v>803</v>
      </c>
      <c r="C25" s="959">
        <f t="shared" si="0"/>
        <v>49</v>
      </c>
      <c r="D25" s="1000">
        <v>30</v>
      </c>
      <c r="E25" s="1000">
        <v>8</v>
      </c>
      <c r="F25" s="1000">
        <v>5</v>
      </c>
      <c r="G25" s="1000">
        <v>6</v>
      </c>
      <c r="H25" s="959">
        <f t="shared" si="2"/>
        <v>134</v>
      </c>
      <c r="I25" s="1000">
        <v>64</v>
      </c>
      <c r="J25" s="1000">
        <v>9</v>
      </c>
      <c r="K25" s="1000">
        <v>11</v>
      </c>
      <c r="L25" s="1000">
        <v>14</v>
      </c>
      <c r="M25" s="1000">
        <v>27</v>
      </c>
      <c r="N25" s="1000">
        <v>9</v>
      </c>
      <c r="O25" s="1000">
        <v>2</v>
      </c>
      <c r="P25" s="962">
        <f t="shared" si="1"/>
        <v>185</v>
      </c>
    </row>
    <row r="26" spans="1:17" ht="21.75" customHeight="1">
      <c r="A26" s="957" t="s">
        <v>796</v>
      </c>
      <c r="B26" s="958" t="s">
        <v>817</v>
      </c>
      <c r="C26" s="959">
        <f t="shared" si="0"/>
        <v>1</v>
      </c>
      <c r="D26" s="1000">
        <v>1</v>
      </c>
      <c r="E26" s="1000"/>
      <c r="F26" s="1000"/>
      <c r="G26" s="1000"/>
      <c r="H26" s="959">
        <f t="shared" si="2"/>
        <v>5</v>
      </c>
      <c r="I26" s="1000">
        <v>3</v>
      </c>
      <c r="J26" s="1000">
        <v>1</v>
      </c>
      <c r="K26" s="1000"/>
      <c r="L26" s="1001"/>
      <c r="M26" s="1000">
        <v>1</v>
      </c>
      <c r="N26" s="1000"/>
      <c r="O26" s="1000"/>
      <c r="P26" s="962">
        <f t="shared" si="1"/>
        <v>6</v>
      </c>
    </row>
    <row r="27" spans="1:17" ht="27.75" customHeight="1">
      <c r="A27" s="957" t="s">
        <v>788</v>
      </c>
      <c r="B27" s="963" t="s">
        <v>232</v>
      </c>
      <c r="C27" s="959">
        <f t="shared" si="0"/>
        <v>50</v>
      </c>
      <c r="D27" s="1000">
        <v>32</v>
      </c>
      <c r="E27" s="1000">
        <v>7</v>
      </c>
      <c r="F27" s="1001">
        <v>4</v>
      </c>
      <c r="G27" s="1000">
        <v>7</v>
      </c>
      <c r="H27" s="959">
        <f t="shared" si="2"/>
        <v>474</v>
      </c>
      <c r="I27" s="1000">
        <v>274</v>
      </c>
      <c r="J27" s="1000">
        <v>40</v>
      </c>
      <c r="K27" s="1000">
        <v>53</v>
      </c>
      <c r="L27" s="1000">
        <v>31</v>
      </c>
      <c r="M27" s="1000">
        <v>49</v>
      </c>
      <c r="N27" s="1000">
        <v>27</v>
      </c>
      <c r="O27" s="1000">
        <v>18</v>
      </c>
      <c r="P27" s="962">
        <f t="shared" si="1"/>
        <v>542</v>
      </c>
    </row>
    <row r="28" spans="1:17" ht="21.75" customHeight="1">
      <c r="A28" s="964"/>
      <c r="B28" s="964" t="s">
        <v>923</v>
      </c>
      <c r="C28" s="965">
        <f>SUM(C10:C27)</f>
        <v>1060</v>
      </c>
      <c r="D28" s="966">
        <f t="shared" ref="D28:P28" si="3">SUM(D10:D27)</f>
        <v>670</v>
      </c>
      <c r="E28" s="966">
        <f t="shared" si="3"/>
        <v>189</v>
      </c>
      <c r="F28" s="966">
        <f t="shared" si="3"/>
        <v>82</v>
      </c>
      <c r="G28" s="966">
        <f t="shared" si="3"/>
        <v>119</v>
      </c>
      <c r="H28" s="967">
        <f t="shared" si="3"/>
        <v>10684</v>
      </c>
      <c r="I28" s="966">
        <f t="shared" si="3"/>
        <v>5858</v>
      </c>
      <c r="J28" s="966">
        <f t="shared" si="3"/>
        <v>1033</v>
      </c>
      <c r="K28" s="966">
        <f t="shared" si="3"/>
        <v>1040</v>
      </c>
      <c r="L28" s="966">
        <f t="shared" si="3"/>
        <v>559</v>
      </c>
      <c r="M28" s="966">
        <f t="shared" si="3"/>
        <v>1401</v>
      </c>
      <c r="N28" s="966">
        <f t="shared" si="3"/>
        <v>793</v>
      </c>
      <c r="O28" s="966">
        <f t="shared" si="3"/>
        <v>204</v>
      </c>
      <c r="P28" s="968">
        <f t="shared" si="3"/>
        <v>11948</v>
      </c>
    </row>
    <row r="29" spans="1:17" ht="21.75" customHeight="1">
      <c r="A29" s="969"/>
      <c r="B29" s="969"/>
      <c r="C29" s="969"/>
      <c r="D29" s="970"/>
      <c r="E29" s="970"/>
      <c r="F29" s="970"/>
      <c r="G29" s="1002"/>
      <c r="H29" s="970"/>
      <c r="I29" s="970"/>
      <c r="J29" s="970"/>
      <c r="K29" s="1002"/>
      <c r="L29" s="970"/>
      <c r="M29" s="970"/>
      <c r="N29" s="1002"/>
      <c r="O29" s="1002"/>
      <c r="P29" s="971"/>
    </row>
    <row r="30" spans="1:17" ht="21.75" customHeight="1">
      <c r="A30" s="969"/>
      <c r="B30" s="969"/>
      <c r="C30" s="969"/>
      <c r="D30" s="1002"/>
      <c r="E30" s="970"/>
      <c r="F30" s="970"/>
      <c r="G30" s="970"/>
      <c r="H30" s="970"/>
      <c r="I30" s="970"/>
      <c r="J30" s="970"/>
      <c r="K30" s="970"/>
      <c r="L30" s="970"/>
      <c r="M30" s="970"/>
      <c r="N30" s="970"/>
      <c r="O30" s="970"/>
      <c r="P30" s="971"/>
    </row>
    <row r="31" spans="1:17" ht="21.75" customHeight="1">
      <c r="A31" s="969"/>
      <c r="B31" s="969"/>
      <c r="C31" s="969"/>
      <c r="D31" s="970"/>
      <c r="E31" s="970"/>
      <c r="F31" s="970"/>
      <c r="G31" s="970"/>
      <c r="H31" s="970"/>
      <c r="I31" s="970"/>
      <c r="J31" s="970"/>
      <c r="K31" s="970"/>
      <c r="L31" s="970"/>
      <c r="M31" s="970"/>
      <c r="N31" s="970"/>
      <c r="O31" s="970"/>
      <c r="P31" s="971"/>
    </row>
    <row r="32" spans="1:17" ht="18" customHeight="1">
      <c r="A32" s="990" t="s">
        <v>233</v>
      </c>
      <c r="B32" s="1003"/>
      <c r="C32" s="973"/>
      <c r="D32" s="973"/>
      <c r="E32" s="973"/>
      <c r="F32" s="973"/>
      <c r="G32" s="973"/>
      <c r="H32" s="973"/>
      <c r="I32" s="973"/>
      <c r="J32" s="973"/>
      <c r="K32" s="973"/>
      <c r="L32" s="973"/>
      <c r="M32" s="973"/>
      <c r="N32" s="973"/>
      <c r="O32" s="973"/>
      <c r="P32" s="1004"/>
    </row>
    <row r="33" spans="1:15">
      <c r="A33" s="1005"/>
      <c r="B33" s="1005"/>
      <c r="C33" s="976"/>
      <c r="D33" s="976"/>
      <c r="E33" s="976"/>
      <c r="F33" s="976"/>
      <c r="G33" s="976"/>
      <c r="H33" s="976"/>
      <c r="I33" s="976"/>
      <c r="J33" s="976"/>
      <c r="K33" s="976"/>
      <c r="L33" s="976"/>
      <c r="M33" s="976"/>
      <c r="N33" s="976"/>
      <c r="O33" s="976"/>
    </row>
    <row r="34" spans="1:15">
      <c r="A34" s="990" t="str">
        <f>+A3</f>
        <v>SERVICIO DE SALUD   ACONCAGUA   2014</v>
      </c>
      <c r="B34" s="1005"/>
      <c r="C34" s="976"/>
      <c r="D34" s="976"/>
      <c r="E34" s="976"/>
      <c r="F34" s="976"/>
      <c r="G34" s="976"/>
      <c r="H34" s="976"/>
      <c r="I34" s="976"/>
      <c r="J34" s="976"/>
      <c r="K34" s="976"/>
      <c r="L34" s="976"/>
      <c r="M34" s="976"/>
      <c r="N34" s="976"/>
      <c r="O34" s="976"/>
    </row>
    <row r="35" spans="1:15">
      <c r="A35" s="1005"/>
      <c r="B35" s="1005"/>
      <c r="C35" s="976"/>
      <c r="D35" s="976"/>
      <c r="E35" s="976"/>
      <c r="F35" s="976"/>
      <c r="G35" s="976"/>
      <c r="H35" s="976"/>
      <c r="I35" s="976"/>
      <c r="J35" s="976"/>
      <c r="K35" s="976"/>
      <c r="L35" s="976"/>
      <c r="M35" s="976"/>
      <c r="N35" s="976"/>
      <c r="O35" s="976"/>
    </row>
    <row r="36" spans="1:15">
      <c r="A36" s="990" t="s">
        <v>238</v>
      </c>
      <c r="B36" s="1005"/>
      <c r="C36" s="976"/>
      <c r="D36" s="976"/>
      <c r="E36" s="976"/>
      <c r="F36" s="976"/>
      <c r="G36" s="976"/>
      <c r="H36" s="976"/>
      <c r="I36" s="976"/>
      <c r="J36" s="976"/>
      <c r="K36" s="976"/>
      <c r="L36" s="976"/>
      <c r="M36" s="976"/>
      <c r="N36" s="976"/>
      <c r="O36" s="976"/>
    </row>
    <row r="38" spans="1:15" ht="21.75" customHeight="1">
      <c r="A38" s="992" t="s">
        <v>756</v>
      </c>
      <c r="B38" s="943"/>
      <c r="C38" s="945" t="s">
        <v>805</v>
      </c>
      <c r="D38" s="945"/>
      <c r="E38" s="945"/>
      <c r="F38" s="945"/>
      <c r="G38" s="945"/>
      <c r="H38" s="945"/>
      <c r="I38" s="945"/>
      <c r="J38" s="945"/>
      <c r="K38" s="945"/>
      <c r="L38" s="945"/>
      <c r="M38" s="979"/>
    </row>
    <row r="39" spans="1:15" ht="23.25" customHeight="1">
      <c r="A39" s="993" t="s">
        <v>758</v>
      </c>
      <c r="B39" s="994" t="s">
        <v>759</v>
      </c>
      <c r="C39" s="951" t="s">
        <v>1471</v>
      </c>
      <c r="D39" s="951" t="s">
        <v>808</v>
      </c>
      <c r="E39" s="951" t="s">
        <v>809</v>
      </c>
      <c r="F39" s="951" t="s">
        <v>810</v>
      </c>
      <c r="G39" s="951" t="s">
        <v>811</v>
      </c>
      <c r="H39" s="951" t="s">
        <v>812</v>
      </c>
      <c r="I39" s="951" t="s">
        <v>813</v>
      </c>
      <c r="J39" s="951" t="s">
        <v>814</v>
      </c>
      <c r="K39" s="951" t="s">
        <v>815</v>
      </c>
      <c r="L39" s="951" t="s">
        <v>816</v>
      </c>
      <c r="M39" s="952" t="s">
        <v>571</v>
      </c>
    </row>
    <row r="40" spans="1:15">
      <c r="A40" s="953"/>
      <c r="B40" s="954"/>
      <c r="C40" s="955"/>
      <c r="D40" s="955"/>
      <c r="E40" s="955"/>
      <c r="F40" s="955"/>
      <c r="G40" s="955"/>
      <c r="H40" s="955"/>
      <c r="I40" s="955"/>
      <c r="J40" s="955"/>
      <c r="K40" s="955"/>
      <c r="L40" s="955"/>
      <c r="M40" s="980"/>
    </row>
    <row r="41" spans="1:15" ht="20.25" customHeight="1">
      <c r="A41" s="957" t="s">
        <v>794</v>
      </c>
      <c r="B41" s="958" t="s">
        <v>795</v>
      </c>
      <c r="C41" s="1000"/>
      <c r="D41" s="1000"/>
      <c r="E41" s="1000">
        <v>13</v>
      </c>
      <c r="F41" s="1000">
        <v>34</v>
      </c>
      <c r="G41" s="1000">
        <v>14</v>
      </c>
      <c r="H41" s="1000">
        <v>9</v>
      </c>
      <c r="I41" s="1000">
        <v>6</v>
      </c>
      <c r="J41" s="1000">
        <v>35</v>
      </c>
      <c r="K41" s="1000">
        <v>35</v>
      </c>
      <c r="L41" s="1000">
        <v>39</v>
      </c>
      <c r="M41" s="962">
        <f t="shared" ref="M41:M58" si="4">SUM(B41:L41)</f>
        <v>185</v>
      </c>
    </row>
    <row r="42" spans="1:15" ht="19.5" customHeight="1">
      <c r="A42" s="957" t="s">
        <v>769</v>
      </c>
      <c r="B42" s="958" t="s">
        <v>770</v>
      </c>
      <c r="C42" s="1000"/>
      <c r="D42" s="1000"/>
      <c r="E42" s="1000">
        <v>3</v>
      </c>
      <c r="F42" s="1000">
        <v>13</v>
      </c>
      <c r="G42" s="1000">
        <v>11</v>
      </c>
      <c r="H42" s="1000">
        <v>7</v>
      </c>
      <c r="I42" s="1000">
        <v>5</v>
      </c>
      <c r="J42" s="1000">
        <v>131</v>
      </c>
      <c r="K42" s="1000">
        <v>304</v>
      </c>
      <c r="L42" s="1000">
        <v>274</v>
      </c>
      <c r="M42" s="962">
        <f t="shared" si="4"/>
        <v>748</v>
      </c>
    </row>
    <row r="43" spans="1:15" ht="18" customHeight="1">
      <c r="A43" s="957" t="s">
        <v>218</v>
      </c>
      <c r="B43" s="958" t="s">
        <v>219</v>
      </c>
      <c r="C43" s="1000"/>
      <c r="D43" s="1000"/>
      <c r="E43" s="1000">
        <v>4</v>
      </c>
      <c r="F43" s="1000">
        <v>20</v>
      </c>
      <c r="G43" s="1000">
        <v>3</v>
      </c>
      <c r="H43" s="1000">
        <v>2</v>
      </c>
      <c r="I43" s="1000">
        <v>4</v>
      </c>
      <c r="J43" s="1000">
        <v>20</v>
      </c>
      <c r="K43" s="1000">
        <v>22</v>
      </c>
      <c r="L43" s="1000">
        <v>38</v>
      </c>
      <c r="M43" s="962">
        <f t="shared" si="4"/>
        <v>113</v>
      </c>
    </row>
    <row r="44" spans="1:15" ht="19.5" customHeight="1">
      <c r="A44" s="957" t="s">
        <v>798</v>
      </c>
      <c r="B44" s="958" t="s">
        <v>799</v>
      </c>
      <c r="C44" s="1000"/>
      <c r="D44" s="1000"/>
      <c r="E44" s="1000">
        <v>1</v>
      </c>
      <c r="F44" s="1000">
        <v>5</v>
      </c>
      <c r="G44" s="1000">
        <v>6</v>
      </c>
      <c r="H44" s="1000">
        <v>19</v>
      </c>
      <c r="I44" s="1000">
        <v>7</v>
      </c>
      <c r="J44" s="1000">
        <v>108</v>
      </c>
      <c r="K44" s="1000">
        <v>127</v>
      </c>
      <c r="L44" s="1000">
        <v>126</v>
      </c>
      <c r="M44" s="962">
        <f t="shared" si="4"/>
        <v>399</v>
      </c>
    </row>
    <row r="45" spans="1:15" ht="19.5" customHeight="1">
      <c r="A45" s="957" t="s">
        <v>220</v>
      </c>
      <c r="B45" s="958" t="s">
        <v>221</v>
      </c>
      <c r="C45" s="1000"/>
      <c r="D45" s="1006"/>
      <c r="E45" s="1000">
        <v>1</v>
      </c>
      <c r="F45" s="1000">
        <v>6</v>
      </c>
      <c r="G45" s="1000">
        <v>3</v>
      </c>
      <c r="H45" s="1000">
        <v>8</v>
      </c>
      <c r="I45" s="1000">
        <v>4</v>
      </c>
      <c r="J45" s="1000">
        <v>15</v>
      </c>
      <c r="K45" s="1000">
        <v>14</v>
      </c>
      <c r="L45" s="1000">
        <v>20</v>
      </c>
      <c r="M45" s="962">
        <f t="shared" si="4"/>
        <v>71</v>
      </c>
      <c r="N45" s="977"/>
    </row>
    <row r="46" spans="1:15" ht="19.5" customHeight="1">
      <c r="A46" s="957" t="s">
        <v>222</v>
      </c>
      <c r="B46" s="958" t="s">
        <v>223</v>
      </c>
      <c r="C46" s="1000"/>
      <c r="D46" s="1006"/>
      <c r="E46" s="1000">
        <v>25</v>
      </c>
      <c r="F46" s="1000">
        <v>45</v>
      </c>
      <c r="G46" s="1000">
        <v>23</v>
      </c>
      <c r="H46" s="1000">
        <v>24</v>
      </c>
      <c r="I46" s="1000">
        <v>9</v>
      </c>
      <c r="J46" s="1000">
        <v>64</v>
      </c>
      <c r="K46" s="1000">
        <v>50</v>
      </c>
      <c r="L46" s="1000">
        <v>79</v>
      </c>
      <c r="M46" s="962">
        <f t="shared" si="4"/>
        <v>319</v>
      </c>
      <c r="N46" s="977"/>
    </row>
    <row r="47" spans="1:15" ht="19.5" customHeight="1">
      <c r="A47" s="957" t="s">
        <v>224</v>
      </c>
      <c r="B47" s="958" t="s">
        <v>225</v>
      </c>
      <c r="C47" s="1000"/>
      <c r="D47" s="1006"/>
      <c r="E47" s="1000">
        <v>1</v>
      </c>
      <c r="F47" s="1000">
        <v>7</v>
      </c>
      <c r="G47" s="1000">
        <v>10</v>
      </c>
      <c r="H47" s="1000">
        <v>9</v>
      </c>
      <c r="I47" s="1000">
        <v>2</v>
      </c>
      <c r="J47" s="1000">
        <v>21</v>
      </c>
      <c r="K47" s="1000">
        <v>41</v>
      </c>
      <c r="L47" s="1000">
        <v>31</v>
      </c>
      <c r="M47" s="962">
        <f t="shared" si="4"/>
        <v>122</v>
      </c>
      <c r="N47" s="977"/>
    </row>
    <row r="48" spans="1:15" ht="18" customHeight="1">
      <c r="A48" s="957" t="s">
        <v>767</v>
      </c>
      <c r="B48" s="958" t="s">
        <v>768</v>
      </c>
      <c r="C48" s="1000"/>
      <c r="D48" s="1006"/>
      <c r="E48" s="1000">
        <v>5</v>
      </c>
      <c r="F48" s="1000">
        <v>4</v>
      </c>
      <c r="G48" s="1000">
        <v>3</v>
      </c>
      <c r="H48" s="1000">
        <v>4</v>
      </c>
      <c r="I48" s="1000">
        <v>4</v>
      </c>
      <c r="J48" s="1000">
        <v>80</v>
      </c>
      <c r="K48" s="1000">
        <v>395</v>
      </c>
      <c r="L48" s="1000">
        <v>717</v>
      </c>
      <c r="M48" s="962">
        <f t="shared" si="4"/>
        <v>1212</v>
      </c>
      <c r="N48" s="977"/>
    </row>
    <row r="49" spans="1:16" ht="18.75" customHeight="1">
      <c r="A49" s="957" t="s">
        <v>771</v>
      </c>
      <c r="B49" s="958" t="s">
        <v>772</v>
      </c>
      <c r="C49" s="1000"/>
      <c r="D49" s="1007"/>
      <c r="E49" s="1000">
        <v>98</v>
      </c>
      <c r="F49" s="1000">
        <v>176</v>
      </c>
      <c r="G49" s="1000">
        <v>206</v>
      </c>
      <c r="H49" s="1000">
        <v>62</v>
      </c>
      <c r="I49" s="1000">
        <v>30</v>
      </c>
      <c r="J49" s="1000">
        <v>117</v>
      </c>
      <c r="K49" s="1000">
        <v>136</v>
      </c>
      <c r="L49" s="1001">
        <v>361</v>
      </c>
      <c r="M49" s="962">
        <f t="shared" si="4"/>
        <v>1186</v>
      </c>
      <c r="N49" s="977"/>
    </row>
    <row r="50" spans="1:16" ht="19.5" customHeight="1">
      <c r="A50" s="957" t="s">
        <v>790</v>
      </c>
      <c r="B50" s="958" t="s">
        <v>791</v>
      </c>
      <c r="C50" s="1000"/>
      <c r="D50" s="1007"/>
      <c r="E50" s="1000">
        <v>28</v>
      </c>
      <c r="F50" s="1000">
        <v>35</v>
      </c>
      <c r="G50" s="1000">
        <v>50</v>
      </c>
      <c r="H50" s="1000">
        <v>61</v>
      </c>
      <c r="I50" s="1000">
        <v>96</v>
      </c>
      <c r="J50" s="1000">
        <v>656</v>
      </c>
      <c r="K50" s="1000">
        <v>763</v>
      </c>
      <c r="L50" s="1000">
        <v>580</v>
      </c>
      <c r="M50" s="962">
        <f t="shared" si="4"/>
        <v>2269</v>
      </c>
      <c r="N50" s="977"/>
    </row>
    <row r="51" spans="1:16" ht="18" customHeight="1">
      <c r="A51" s="957" t="s">
        <v>226</v>
      </c>
      <c r="B51" s="958" t="s">
        <v>227</v>
      </c>
      <c r="C51" s="1000"/>
      <c r="D51" s="1006"/>
      <c r="E51" s="1000">
        <v>4</v>
      </c>
      <c r="F51" s="1000">
        <v>10</v>
      </c>
      <c r="G51" s="1000">
        <v>4</v>
      </c>
      <c r="H51" s="1000">
        <v>8</v>
      </c>
      <c r="I51" s="1000">
        <v>6</v>
      </c>
      <c r="J51" s="1000">
        <v>38</v>
      </c>
      <c r="K51" s="1000">
        <v>24</v>
      </c>
      <c r="L51" s="1000">
        <v>24</v>
      </c>
      <c r="M51" s="962">
        <f t="shared" si="4"/>
        <v>118</v>
      </c>
      <c r="N51" s="977"/>
    </row>
    <row r="52" spans="1:16" ht="19.5" customHeight="1">
      <c r="A52" s="957" t="s">
        <v>228</v>
      </c>
      <c r="B52" s="958" t="s">
        <v>229</v>
      </c>
      <c r="C52" s="1000"/>
      <c r="D52" s="1006"/>
      <c r="E52" s="1000">
        <v>1</v>
      </c>
      <c r="F52" s="1000">
        <v>1</v>
      </c>
      <c r="G52" s="1000">
        <v>1</v>
      </c>
      <c r="H52" s="1000">
        <v>29</v>
      </c>
      <c r="I52" s="1000">
        <v>2</v>
      </c>
      <c r="J52" s="1000">
        <v>36</v>
      </c>
      <c r="K52" s="1000">
        <v>61</v>
      </c>
      <c r="L52" s="1000">
        <v>28</v>
      </c>
      <c r="M52" s="962">
        <f t="shared" si="4"/>
        <v>159</v>
      </c>
      <c r="N52" s="977"/>
    </row>
    <row r="53" spans="1:16" ht="18.75" customHeight="1">
      <c r="A53" s="957" t="s">
        <v>792</v>
      </c>
      <c r="B53" s="958" t="s">
        <v>793</v>
      </c>
      <c r="C53" s="1000"/>
      <c r="D53" s="1006"/>
      <c r="E53" s="1000">
        <v>15</v>
      </c>
      <c r="F53" s="1000">
        <v>64</v>
      </c>
      <c r="G53" s="1000">
        <v>94</v>
      </c>
      <c r="H53" s="1000">
        <v>27</v>
      </c>
      <c r="I53" s="1000">
        <v>48</v>
      </c>
      <c r="J53" s="1000">
        <v>235</v>
      </c>
      <c r="K53" s="1000">
        <v>252</v>
      </c>
      <c r="L53" s="1000">
        <v>285</v>
      </c>
      <c r="M53" s="962">
        <f t="shared" si="4"/>
        <v>1020</v>
      </c>
      <c r="N53" s="977"/>
    </row>
    <row r="54" spans="1:16" ht="18.75" customHeight="1">
      <c r="A54" s="957" t="s">
        <v>230</v>
      </c>
      <c r="B54" s="958" t="s">
        <v>231</v>
      </c>
      <c r="C54" s="1006"/>
      <c r="D54" s="1006"/>
      <c r="E54" s="1006"/>
      <c r="F54" s="1006"/>
      <c r="G54" s="1006"/>
      <c r="H54" s="1000">
        <v>7</v>
      </c>
      <c r="I54" s="1000">
        <v>347</v>
      </c>
      <c r="J54" s="1000">
        <v>2600</v>
      </c>
      <c r="K54" s="1000">
        <v>12</v>
      </c>
      <c r="L54" s="1006"/>
      <c r="M54" s="962">
        <f t="shared" si="4"/>
        <v>2966</v>
      </c>
      <c r="N54" s="977"/>
    </row>
    <row r="55" spans="1:16" ht="18" customHeight="1">
      <c r="A55" s="957" t="s">
        <v>800</v>
      </c>
      <c r="B55" s="958" t="s">
        <v>801</v>
      </c>
      <c r="C55" s="1000">
        <v>206</v>
      </c>
      <c r="D55" s="1000">
        <v>122</v>
      </c>
      <c r="E55" s="1091"/>
      <c r="F55" s="1006"/>
      <c r="G55" s="1006"/>
      <c r="H55" s="1006"/>
      <c r="I55" s="1006"/>
      <c r="J55" s="1006"/>
      <c r="K55" s="1006"/>
      <c r="L55" s="1006"/>
      <c r="M55" s="962">
        <f t="shared" si="4"/>
        <v>328</v>
      </c>
      <c r="N55" s="977"/>
      <c r="O55" s="1008"/>
      <c r="P55" s="1008"/>
    </row>
    <row r="56" spans="1:16" ht="20.25" customHeight="1">
      <c r="A56" s="957" t="s">
        <v>802</v>
      </c>
      <c r="B56" s="958" t="s">
        <v>803</v>
      </c>
      <c r="C56" s="1000">
        <v>3</v>
      </c>
      <c r="D56" s="1000">
        <v>4</v>
      </c>
      <c r="E56" s="1000">
        <v>41</v>
      </c>
      <c r="F56" s="1000">
        <v>70</v>
      </c>
      <c r="G56" s="1000">
        <v>30</v>
      </c>
      <c r="H56" s="1000">
        <v>12</v>
      </c>
      <c r="I56" s="1000">
        <v>2</v>
      </c>
      <c r="J56" s="1000">
        <v>13</v>
      </c>
      <c r="K56" s="1000">
        <v>8</v>
      </c>
      <c r="L56" s="1000">
        <v>2</v>
      </c>
      <c r="M56" s="962">
        <f t="shared" si="4"/>
        <v>185</v>
      </c>
      <c r="N56" s="977"/>
    </row>
    <row r="57" spans="1:16" ht="19.5" customHeight="1">
      <c r="A57" s="957" t="s">
        <v>796</v>
      </c>
      <c r="B57" s="958" t="s">
        <v>817</v>
      </c>
      <c r="C57" s="1007"/>
      <c r="D57" s="1007"/>
      <c r="E57" s="1000"/>
      <c r="F57" s="1000"/>
      <c r="G57" s="1000"/>
      <c r="H57" s="1000"/>
      <c r="I57" s="1000"/>
      <c r="J57" s="1000">
        <v>1</v>
      </c>
      <c r="K57" s="1000">
        <v>4</v>
      </c>
      <c r="L57" s="1000">
        <v>1</v>
      </c>
      <c r="M57" s="962">
        <f t="shared" si="4"/>
        <v>6</v>
      </c>
      <c r="N57" s="977"/>
    </row>
    <row r="58" spans="1:16" ht="27.75" customHeight="1">
      <c r="A58" s="957" t="s">
        <v>788</v>
      </c>
      <c r="B58" s="963" t="s">
        <v>232</v>
      </c>
      <c r="C58" s="1007"/>
      <c r="D58" s="1007"/>
      <c r="E58" s="1000">
        <v>11</v>
      </c>
      <c r="F58" s="1000">
        <v>49</v>
      </c>
      <c r="G58" s="1000">
        <v>24</v>
      </c>
      <c r="H58" s="1000">
        <v>20</v>
      </c>
      <c r="I58" s="1000">
        <v>35</v>
      </c>
      <c r="J58" s="1000">
        <v>256</v>
      </c>
      <c r="K58" s="1000">
        <v>92</v>
      </c>
      <c r="L58" s="1000">
        <v>55</v>
      </c>
      <c r="M58" s="962">
        <f t="shared" si="4"/>
        <v>542</v>
      </c>
      <c r="N58" s="977"/>
    </row>
    <row r="59" spans="1:16" ht="19.5" customHeight="1">
      <c r="A59" s="964"/>
      <c r="B59" s="964" t="s">
        <v>923</v>
      </c>
      <c r="C59" s="966">
        <f t="shared" ref="C59:M59" si="5">SUM(C41:C58)</f>
        <v>209</v>
      </c>
      <c r="D59" s="966">
        <f t="shared" si="5"/>
        <v>126</v>
      </c>
      <c r="E59" s="966">
        <f t="shared" si="5"/>
        <v>251</v>
      </c>
      <c r="F59" s="966">
        <f t="shared" si="5"/>
        <v>539</v>
      </c>
      <c r="G59" s="966">
        <f t="shared" si="5"/>
        <v>482</v>
      </c>
      <c r="H59" s="966">
        <f t="shared" si="5"/>
        <v>308</v>
      </c>
      <c r="I59" s="966">
        <f t="shared" si="5"/>
        <v>607</v>
      </c>
      <c r="J59" s="966">
        <f t="shared" si="5"/>
        <v>4426</v>
      </c>
      <c r="K59" s="966">
        <f t="shared" si="5"/>
        <v>2340</v>
      </c>
      <c r="L59" s="966">
        <f t="shared" si="5"/>
        <v>2660</v>
      </c>
      <c r="M59" s="968">
        <f t="shared" si="5"/>
        <v>11948</v>
      </c>
      <c r="O59" s="977"/>
    </row>
    <row r="61" spans="1:16">
      <c r="L61" s="1008" t="s">
        <v>239</v>
      </c>
    </row>
  </sheetData>
  <phoneticPr fontId="19" type="noConversion"/>
  <pageMargins left="1.7716535433070868" right="0.78740157480314965" top="1.1811023622047245" bottom="0.59055118110236227" header="0.51181102362204722" footer="0.51181102362204722"/>
  <pageSetup paperSize="5" scale="85" orientation="landscape" horizontalDpi="300" verticalDpi="300" r:id="rId1"/>
  <headerFooter alignWithMargins="0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95"/>
  <sheetViews>
    <sheetView topLeftCell="A33" zoomScale="74" zoomScaleNormal="74" workbookViewId="0">
      <selection activeCell="R29" sqref="R29"/>
    </sheetView>
  </sheetViews>
  <sheetFormatPr baseColWidth="10" defaultRowHeight="12.75"/>
  <cols>
    <col min="1" max="1" width="9.42578125" style="978" customWidth="1"/>
    <col min="2" max="2" width="28" style="978" customWidth="1"/>
    <col min="3" max="3" width="10.5703125" style="978" customWidth="1"/>
    <col min="4" max="4" width="9.7109375" style="978" customWidth="1"/>
    <col min="5" max="5" width="9.28515625" style="978" customWidth="1"/>
    <col min="6" max="6" width="9.5703125" style="978" customWidth="1"/>
    <col min="7" max="7" width="9.85546875" style="978" customWidth="1"/>
    <col min="8" max="8" width="10.28515625" style="978" customWidth="1"/>
    <col min="9" max="10" width="9.7109375" style="978" customWidth="1"/>
    <col min="11" max="11" width="10" style="978" customWidth="1"/>
    <col min="12" max="12" width="10.28515625" style="978" customWidth="1"/>
    <col min="13" max="13" width="8.5703125" style="978" customWidth="1"/>
    <col min="14" max="14" width="9.140625" style="978" customWidth="1"/>
    <col min="15" max="16384" width="11.42578125" style="978"/>
  </cols>
  <sheetData>
    <row r="1" spans="1:16">
      <c r="A1" s="1293" t="s">
        <v>217</v>
      </c>
      <c r="B1" s="1293"/>
      <c r="C1" s="1293"/>
      <c r="D1" s="1293"/>
      <c r="E1" s="1293"/>
      <c r="F1" s="1293"/>
      <c r="G1" s="1293"/>
      <c r="H1" s="1293"/>
      <c r="I1" s="1293"/>
      <c r="J1" s="1293"/>
      <c r="K1" s="1293"/>
      <c r="L1" s="1293"/>
      <c r="M1" s="1293"/>
      <c r="N1" s="1293"/>
      <c r="O1" s="1293"/>
      <c r="P1" s="1293"/>
    </row>
    <row r="2" spans="1:16">
      <c r="A2" s="990"/>
      <c r="B2" s="990"/>
      <c r="C2" s="1005"/>
      <c r="D2" s="1005"/>
      <c r="E2" s="1005"/>
      <c r="F2" s="1005"/>
      <c r="G2" s="1005"/>
      <c r="H2" s="1005"/>
      <c r="I2" s="1005"/>
      <c r="J2" s="1005"/>
      <c r="K2" s="1005"/>
      <c r="L2" s="1005"/>
      <c r="M2" s="1005"/>
      <c r="N2" s="1005"/>
      <c r="O2" s="1010"/>
      <c r="P2" s="1010"/>
    </row>
    <row r="3" spans="1:16">
      <c r="A3" s="1293" t="str">
        <f>+'97'!A3</f>
        <v>SERVICIO DE SALUD   ACONCAGUA   2014</v>
      </c>
      <c r="B3" s="1293"/>
      <c r="C3" s="1293"/>
      <c r="D3" s="1293"/>
      <c r="E3" s="1293"/>
      <c r="F3" s="1293"/>
      <c r="G3" s="1293"/>
      <c r="H3" s="1293"/>
      <c r="I3" s="1293"/>
      <c r="J3" s="1293"/>
      <c r="K3" s="1293"/>
      <c r="L3" s="1293"/>
      <c r="M3" s="1293"/>
      <c r="N3" s="1293"/>
      <c r="O3" s="1293"/>
      <c r="P3" s="1293"/>
    </row>
    <row r="4" spans="1:16">
      <c r="A4" s="990"/>
      <c r="B4" s="990"/>
      <c r="C4" s="1005"/>
      <c r="D4" s="1005"/>
      <c r="E4" s="1005"/>
      <c r="F4" s="1005"/>
      <c r="G4" s="1005"/>
      <c r="H4" s="1005"/>
      <c r="I4" s="1005"/>
      <c r="J4" s="1005"/>
      <c r="K4" s="1005"/>
      <c r="L4" s="1005"/>
      <c r="M4" s="1005"/>
      <c r="N4" s="1005"/>
      <c r="O4" s="1010"/>
      <c r="P4" s="1010"/>
    </row>
    <row r="5" spans="1:16">
      <c r="A5" s="1293" t="s">
        <v>1007</v>
      </c>
      <c r="B5" s="1293"/>
      <c r="C5" s="1293"/>
      <c r="D5" s="1293"/>
      <c r="E5" s="1293"/>
      <c r="F5" s="1293"/>
      <c r="G5" s="1293"/>
      <c r="H5" s="1293"/>
      <c r="I5" s="1293"/>
      <c r="J5" s="1293"/>
      <c r="K5" s="1293"/>
      <c r="L5" s="1293"/>
      <c r="M5" s="1293"/>
      <c r="N5" s="1293"/>
      <c r="O5" s="1293"/>
      <c r="P5" s="1293"/>
    </row>
    <row r="6" spans="1:16">
      <c r="A6" s="991"/>
    </row>
    <row r="7" spans="1:16" ht="18.75" customHeight="1">
      <c r="A7" s="992" t="s">
        <v>756</v>
      </c>
      <c r="B7" s="943"/>
      <c r="C7" s="944"/>
      <c r="D7" s="945" t="s">
        <v>757</v>
      </c>
      <c r="E7" s="945"/>
      <c r="F7" s="945"/>
      <c r="G7" s="945"/>
      <c r="H7" s="945"/>
      <c r="I7" s="945"/>
      <c r="J7" s="945"/>
      <c r="K7" s="945"/>
      <c r="L7" s="945"/>
      <c r="M7" s="945"/>
      <c r="N7" s="945"/>
      <c r="O7" s="945"/>
      <c r="P7" s="946"/>
    </row>
    <row r="8" spans="1:16" ht="23.25" customHeight="1">
      <c r="A8" s="993" t="s">
        <v>758</v>
      </c>
      <c r="B8" s="994" t="s">
        <v>759</v>
      </c>
      <c r="C8" s="995" t="s">
        <v>760</v>
      </c>
      <c r="D8" s="950" t="s">
        <v>699</v>
      </c>
      <c r="E8" s="951" t="s">
        <v>761</v>
      </c>
      <c r="F8" s="951" t="s">
        <v>762</v>
      </c>
      <c r="G8" s="951" t="s">
        <v>483</v>
      </c>
      <c r="H8" s="995" t="s">
        <v>763</v>
      </c>
      <c r="I8" s="951" t="s">
        <v>764</v>
      </c>
      <c r="J8" s="951" t="s">
        <v>445</v>
      </c>
      <c r="K8" s="951" t="s">
        <v>463</v>
      </c>
      <c r="L8" s="951" t="s">
        <v>468</v>
      </c>
      <c r="M8" s="951" t="s">
        <v>765</v>
      </c>
      <c r="N8" s="951" t="s">
        <v>470</v>
      </c>
      <c r="O8" s="951" t="s">
        <v>766</v>
      </c>
      <c r="P8" s="952" t="s">
        <v>571</v>
      </c>
    </row>
    <row r="9" spans="1:16">
      <c r="A9" s="953"/>
      <c r="B9" s="954"/>
      <c r="C9" s="943"/>
      <c r="D9" s="955"/>
      <c r="E9" s="955"/>
      <c r="F9" s="955"/>
      <c r="G9" s="955"/>
      <c r="H9" s="943"/>
      <c r="I9" s="955"/>
      <c r="J9" s="955"/>
      <c r="K9" s="955"/>
      <c r="L9" s="955"/>
      <c r="M9" s="955"/>
      <c r="N9" s="955"/>
      <c r="O9" s="955"/>
      <c r="P9" s="980"/>
    </row>
    <row r="10" spans="1:16" ht="18" customHeight="1">
      <c r="A10" s="957" t="s">
        <v>794</v>
      </c>
      <c r="B10" s="958" t="s">
        <v>795</v>
      </c>
      <c r="C10" s="999">
        <f>SUM(D10:G10)</f>
        <v>164</v>
      </c>
      <c r="D10" s="1000">
        <v>108</v>
      </c>
      <c r="E10" s="1000">
        <v>30</v>
      </c>
      <c r="F10" s="1000">
        <v>18</v>
      </c>
      <c r="G10" s="1000">
        <v>8</v>
      </c>
      <c r="H10" s="999">
        <f>SUM(I10:N10)</f>
        <v>10</v>
      </c>
      <c r="I10" s="1000">
        <v>7</v>
      </c>
      <c r="J10" s="1000"/>
      <c r="K10" s="1000">
        <v>3</v>
      </c>
      <c r="L10" s="1000"/>
      <c r="M10" s="1000"/>
      <c r="N10" s="1000"/>
      <c r="O10" s="1000">
        <v>4</v>
      </c>
      <c r="P10" s="1011">
        <f>+O10+H10+C10</f>
        <v>178</v>
      </c>
    </row>
    <row r="11" spans="1:16" ht="20.25" customHeight="1">
      <c r="A11" s="957" t="s">
        <v>769</v>
      </c>
      <c r="B11" s="958" t="s">
        <v>770</v>
      </c>
      <c r="C11" s="999">
        <f t="shared" ref="C11:C27" si="0">SUM(D11:G11)</f>
        <v>473</v>
      </c>
      <c r="D11" s="1000">
        <v>289</v>
      </c>
      <c r="E11" s="1000">
        <v>80</v>
      </c>
      <c r="F11" s="1000">
        <v>57</v>
      </c>
      <c r="G11" s="1000">
        <v>47</v>
      </c>
      <c r="H11" s="999">
        <f t="shared" ref="H11:H27" si="1">SUM(I11:N11)</f>
        <v>109</v>
      </c>
      <c r="I11" s="1000">
        <v>59</v>
      </c>
      <c r="J11" s="1000">
        <v>9</v>
      </c>
      <c r="K11" s="1000">
        <v>7</v>
      </c>
      <c r="L11" s="1000">
        <v>4</v>
      </c>
      <c r="M11" s="1000">
        <v>20</v>
      </c>
      <c r="N11" s="1000">
        <v>10</v>
      </c>
      <c r="O11" s="1000">
        <v>4</v>
      </c>
      <c r="P11" s="1011">
        <f t="shared" ref="P11:P27" si="2">+O11+H11+C11</f>
        <v>586</v>
      </c>
    </row>
    <row r="12" spans="1:16" ht="19.5" customHeight="1">
      <c r="A12" s="957" t="s">
        <v>218</v>
      </c>
      <c r="B12" s="958" t="s">
        <v>219</v>
      </c>
      <c r="C12" s="999">
        <f t="shared" si="0"/>
        <v>37</v>
      </c>
      <c r="D12" s="1000">
        <v>30</v>
      </c>
      <c r="E12" s="1000">
        <v>2</v>
      </c>
      <c r="F12" s="1000">
        <v>5</v>
      </c>
      <c r="G12" s="1000"/>
      <c r="H12" s="999">
        <f t="shared" si="1"/>
        <v>5</v>
      </c>
      <c r="I12" s="1000">
        <v>3</v>
      </c>
      <c r="J12" s="1000"/>
      <c r="K12" s="1000"/>
      <c r="L12" s="1000">
        <v>2</v>
      </c>
      <c r="M12" s="1000"/>
      <c r="N12" s="1000"/>
      <c r="O12" s="1000">
        <v>1</v>
      </c>
      <c r="P12" s="1011">
        <f t="shared" si="2"/>
        <v>43</v>
      </c>
    </row>
    <row r="13" spans="1:16" ht="20.25" customHeight="1">
      <c r="A13" s="957" t="s">
        <v>798</v>
      </c>
      <c r="B13" s="958" t="s">
        <v>799</v>
      </c>
      <c r="C13" s="999">
        <f t="shared" si="0"/>
        <v>161</v>
      </c>
      <c r="D13" s="1000">
        <v>110</v>
      </c>
      <c r="E13" s="1000">
        <v>24</v>
      </c>
      <c r="F13" s="1000">
        <v>16</v>
      </c>
      <c r="G13" s="1000">
        <v>11</v>
      </c>
      <c r="H13" s="999">
        <f t="shared" si="1"/>
        <v>13</v>
      </c>
      <c r="I13" s="1000">
        <v>8</v>
      </c>
      <c r="J13" s="1000"/>
      <c r="K13" s="1000">
        <v>1</v>
      </c>
      <c r="L13" s="1000"/>
      <c r="M13" s="1000">
        <v>3</v>
      </c>
      <c r="N13" s="1000">
        <v>1</v>
      </c>
      <c r="O13" s="1000">
        <v>3</v>
      </c>
      <c r="P13" s="1011">
        <f t="shared" si="2"/>
        <v>177</v>
      </c>
    </row>
    <row r="14" spans="1:16" ht="19.5" customHeight="1">
      <c r="A14" s="957" t="s">
        <v>220</v>
      </c>
      <c r="B14" s="958" t="s">
        <v>221</v>
      </c>
      <c r="C14" s="999">
        <f t="shared" si="0"/>
        <v>32</v>
      </c>
      <c r="D14" s="1001">
        <v>15</v>
      </c>
      <c r="E14" s="1000">
        <v>9</v>
      </c>
      <c r="F14" s="1000">
        <v>5</v>
      </c>
      <c r="G14" s="1000">
        <v>3</v>
      </c>
      <c r="H14" s="999">
        <f t="shared" si="1"/>
        <v>1</v>
      </c>
      <c r="I14" s="1000">
        <v>1</v>
      </c>
      <c r="J14" s="1000"/>
      <c r="K14" s="1000"/>
      <c r="L14" s="1000"/>
      <c r="M14" s="1000"/>
      <c r="N14" s="1000"/>
      <c r="O14" s="1000"/>
      <c r="P14" s="1011">
        <f t="shared" si="2"/>
        <v>33</v>
      </c>
    </row>
    <row r="15" spans="1:16" ht="19.5" customHeight="1">
      <c r="A15" s="957" t="s">
        <v>222</v>
      </c>
      <c r="B15" s="958" t="s">
        <v>223</v>
      </c>
      <c r="C15" s="999">
        <f t="shared" si="0"/>
        <v>71</v>
      </c>
      <c r="D15" s="1000">
        <v>39</v>
      </c>
      <c r="E15" s="1000">
        <v>20</v>
      </c>
      <c r="F15" s="1000">
        <v>5</v>
      </c>
      <c r="G15" s="1000">
        <v>7</v>
      </c>
      <c r="H15" s="999">
        <f t="shared" si="1"/>
        <v>12</v>
      </c>
      <c r="I15" s="1000">
        <v>8</v>
      </c>
      <c r="J15" s="1000">
        <v>1</v>
      </c>
      <c r="K15" s="1000">
        <v>1</v>
      </c>
      <c r="L15" s="1000">
        <v>1</v>
      </c>
      <c r="M15" s="1000">
        <v>1</v>
      </c>
      <c r="N15" s="1000"/>
      <c r="O15" s="1000"/>
      <c r="P15" s="1011">
        <f t="shared" si="2"/>
        <v>83</v>
      </c>
    </row>
    <row r="16" spans="1:16" ht="19.5" customHeight="1">
      <c r="A16" s="957" t="s">
        <v>224</v>
      </c>
      <c r="B16" s="958" t="s">
        <v>225</v>
      </c>
      <c r="C16" s="999">
        <f t="shared" si="0"/>
        <v>12</v>
      </c>
      <c r="D16" s="1000">
        <v>8</v>
      </c>
      <c r="E16" s="1000">
        <v>1</v>
      </c>
      <c r="F16" s="1000">
        <v>1</v>
      </c>
      <c r="G16" s="1000">
        <v>2</v>
      </c>
      <c r="H16" s="999">
        <f t="shared" si="1"/>
        <v>0</v>
      </c>
      <c r="I16" s="1000"/>
      <c r="J16" s="1000"/>
      <c r="K16" s="1000"/>
      <c r="L16" s="1000"/>
      <c r="M16" s="1000"/>
      <c r="N16" s="1000"/>
      <c r="O16" s="1000">
        <v>2</v>
      </c>
      <c r="P16" s="1011">
        <f t="shared" si="2"/>
        <v>14</v>
      </c>
    </row>
    <row r="17" spans="1:16" ht="20.25" customHeight="1">
      <c r="A17" s="957" t="s">
        <v>767</v>
      </c>
      <c r="B17" s="958" t="s">
        <v>768</v>
      </c>
      <c r="C17" s="999">
        <f t="shared" si="0"/>
        <v>767</v>
      </c>
      <c r="D17" s="1000">
        <v>478</v>
      </c>
      <c r="E17" s="1000">
        <v>130</v>
      </c>
      <c r="F17" s="1000">
        <v>92</v>
      </c>
      <c r="G17" s="1000">
        <v>67</v>
      </c>
      <c r="H17" s="999">
        <f t="shared" si="1"/>
        <v>59</v>
      </c>
      <c r="I17" s="1000">
        <v>37</v>
      </c>
      <c r="J17" s="1000">
        <v>5</v>
      </c>
      <c r="K17" s="1000">
        <v>3</v>
      </c>
      <c r="L17" s="1000">
        <v>5</v>
      </c>
      <c r="M17" s="1000">
        <v>6</v>
      </c>
      <c r="N17" s="1000">
        <v>3</v>
      </c>
      <c r="O17" s="1000">
        <v>15</v>
      </c>
      <c r="P17" s="1011">
        <f t="shared" si="2"/>
        <v>841</v>
      </c>
    </row>
    <row r="18" spans="1:16" ht="19.5" customHeight="1">
      <c r="A18" s="957" t="s">
        <v>771</v>
      </c>
      <c r="B18" s="958" t="s">
        <v>772</v>
      </c>
      <c r="C18" s="999">
        <f t="shared" si="0"/>
        <v>445</v>
      </c>
      <c r="D18" s="1000">
        <v>288</v>
      </c>
      <c r="E18" s="1000">
        <v>71</v>
      </c>
      <c r="F18" s="1000">
        <v>47</v>
      </c>
      <c r="G18" s="1000">
        <v>39</v>
      </c>
      <c r="H18" s="999">
        <f t="shared" si="1"/>
        <v>6</v>
      </c>
      <c r="I18" s="1000">
        <v>6</v>
      </c>
      <c r="J18" s="1000"/>
      <c r="K18" s="1000"/>
      <c r="L18" s="1000"/>
      <c r="M18" s="1000"/>
      <c r="N18" s="1000"/>
      <c r="O18" s="1000">
        <v>2</v>
      </c>
      <c r="P18" s="1011">
        <f t="shared" si="2"/>
        <v>453</v>
      </c>
    </row>
    <row r="19" spans="1:16" ht="19.5" customHeight="1">
      <c r="A19" s="957" t="s">
        <v>790</v>
      </c>
      <c r="B19" s="958" t="s">
        <v>791</v>
      </c>
      <c r="C19" s="999">
        <f t="shared" si="0"/>
        <v>1309</v>
      </c>
      <c r="D19" s="1000">
        <v>782</v>
      </c>
      <c r="E19" s="1000">
        <v>225</v>
      </c>
      <c r="F19" s="1000">
        <v>165</v>
      </c>
      <c r="G19" s="1000">
        <v>137</v>
      </c>
      <c r="H19" s="999">
        <f t="shared" si="1"/>
        <v>67</v>
      </c>
      <c r="I19" s="1000">
        <v>39</v>
      </c>
      <c r="J19" s="1000">
        <v>3</v>
      </c>
      <c r="K19" s="1000">
        <v>19</v>
      </c>
      <c r="L19" s="1000"/>
      <c r="M19" s="1000">
        <v>5</v>
      </c>
      <c r="N19" s="1000">
        <v>1</v>
      </c>
      <c r="O19" s="1000">
        <v>34</v>
      </c>
      <c r="P19" s="1011">
        <f t="shared" si="2"/>
        <v>1410</v>
      </c>
    </row>
    <row r="20" spans="1:16" ht="18.75" customHeight="1">
      <c r="A20" s="957" t="s">
        <v>226</v>
      </c>
      <c r="B20" s="958" t="s">
        <v>227</v>
      </c>
      <c r="C20" s="999">
        <f t="shared" si="0"/>
        <v>93</v>
      </c>
      <c r="D20" s="1000">
        <v>59</v>
      </c>
      <c r="E20" s="1000">
        <v>12</v>
      </c>
      <c r="F20" s="1000">
        <v>12</v>
      </c>
      <c r="G20" s="1000">
        <v>10</v>
      </c>
      <c r="H20" s="999">
        <f t="shared" si="1"/>
        <v>8</v>
      </c>
      <c r="I20" s="1000">
        <v>3</v>
      </c>
      <c r="J20" s="1000">
        <v>1</v>
      </c>
      <c r="K20" s="1000">
        <v>1</v>
      </c>
      <c r="L20" s="1000">
        <v>2</v>
      </c>
      <c r="M20" s="1000">
        <v>1</v>
      </c>
      <c r="N20" s="1000"/>
      <c r="O20" s="1000">
        <v>4</v>
      </c>
      <c r="P20" s="1011">
        <f t="shared" si="2"/>
        <v>105</v>
      </c>
    </row>
    <row r="21" spans="1:16" ht="19.5" customHeight="1">
      <c r="A21" s="957" t="s">
        <v>228</v>
      </c>
      <c r="B21" s="958" t="s">
        <v>229</v>
      </c>
      <c r="C21" s="999">
        <f t="shared" si="0"/>
        <v>348</v>
      </c>
      <c r="D21" s="1000">
        <v>211</v>
      </c>
      <c r="E21" s="1000">
        <v>73</v>
      </c>
      <c r="F21" s="1000">
        <v>37</v>
      </c>
      <c r="G21" s="1000">
        <v>27</v>
      </c>
      <c r="H21" s="999">
        <f t="shared" si="1"/>
        <v>333</v>
      </c>
      <c r="I21" s="1000">
        <v>168</v>
      </c>
      <c r="J21" s="1000">
        <v>41</v>
      </c>
      <c r="K21" s="1000">
        <v>39</v>
      </c>
      <c r="L21" s="1000">
        <v>18</v>
      </c>
      <c r="M21" s="1000">
        <v>36</v>
      </c>
      <c r="N21" s="1000">
        <v>31</v>
      </c>
      <c r="O21" s="1000">
        <v>2</v>
      </c>
      <c r="P21" s="1011">
        <f t="shared" si="2"/>
        <v>683</v>
      </c>
    </row>
    <row r="22" spans="1:16" ht="19.5" customHeight="1">
      <c r="A22" s="957" t="s">
        <v>792</v>
      </c>
      <c r="B22" s="958" t="s">
        <v>793</v>
      </c>
      <c r="C22" s="999">
        <f t="shared" si="0"/>
        <v>752</v>
      </c>
      <c r="D22" s="1000">
        <v>486</v>
      </c>
      <c r="E22" s="1000">
        <v>130</v>
      </c>
      <c r="F22" s="1000">
        <v>77</v>
      </c>
      <c r="G22" s="1000">
        <v>59</v>
      </c>
      <c r="H22" s="999">
        <f t="shared" si="1"/>
        <v>343</v>
      </c>
      <c r="I22" s="1000">
        <v>170</v>
      </c>
      <c r="J22" s="1000">
        <v>39</v>
      </c>
      <c r="K22" s="1000">
        <v>36</v>
      </c>
      <c r="L22" s="1000">
        <v>12</v>
      </c>
      <c r="M22" s="1000">
        <v>45</v>
      </c>
      <c r="N22" s="1000">
        <v>41</v>
      </c>
      <c r="O22" s="1000">
        <v>10</v>
      </c>
      <c r="P22" s="1011">
        <f t="shared" si="2"/>
        <v>1105</v>
      </c>
    </row>
    <row r="23" spans="1:16" ht="18.75" customHeight="1">
      <c r="A23" s="957" t="s">
        <v>230</v>
      </c>
      <c r="B23" s="958" t="s">
        <v>231</v>
      </c>
      <c r="C23" s="999">
        <f t="shared" si="0"/>
        <v>1907</v>
      </c>
      <c r="D23" s="1000">
        <v>1245</v>
      </c>
      <c r="E23" s="1000">
        <v>308</v>
      </c>
      <c r="F23" s="1000">
        <v>199</v>
      </c>
      <c r="G23" s="1000">
        <v>155</v>
      </c>
      <c r="H23" s="999">
        <f t="shared" si="1"/>
        <v>106</v>
      </c>
      <c r="I23" s="1000">
        <v>69</v>
      </c>
      <c r="J23" s="1000">
        <v>9</v>
      </c>
      <c r="K23" s="1000">
        <v>19</v>
      </c>
      <c r="L23" s="1000"/>
      <c r="M23" s="1000">
        <v>8</v>
      </c>
      <c r="N23" s="1000">
        <v>1</v>
      </c>
      <c r="O23" s="1000">
        <v>20</v>
      </c>
      <c r="P23" s="1011">
        <f t="shared" si="2"/>
        <v>2033</v>
      </c>
    </row>
    <row r="24" spans="1:16" ht="19.5" customHeight="1">
      <c r="A24" s="957" t="s">
        <v>800</v>
      </c>
      <c r="B24" s="958" t="s">
        <v>801</v>
      </c>
      <c r="C24" s="999">
        <f t="shared" si="0"/>
        <v>303</v>
      </c>
      <c r="D24" s="1000">
        <v>207</v>
      </c>
      <c r="E24" s="1000">
        <v>54</v>
      </c>
      <c r="F24" s="1000">
        <v>12</v>
      </c>
      <c r="G24" s="1000">
        <v>30</v>
      </c>
      <c r="H24" s="999">
        <f t="shared" si="1"/>
        <v>4</v>
      </c>
      <c r="I24" s="1000">
        <v>2</v>
      </c>
      <c r="J24" s="1000"/>
      <c r="K24" s="1000"/>
      <c r="L24" s="1000"/>
      <c r="M24" s="1000">
        <v>1</v>
      </c>
      <c r="N24" s="1000">
        <v>1</v>
      </c>
      <c r="O24" s="1000">
        <v>4</v>
      </c>
      <c r="P24" s="1011">
        <f t="shared" si="2"/>
        <v>311</v>
      </c>
    </row>
    <row r="25" spans="1:16" ht="20.25" customHeight="1">
      <c r="A25" s="957" t="s">
        <v>802</v>
      </c>
      <c r="B25" s="958" t="s">
        <v>803</v>
      </c>
      <c r="C25" s="999">
        <f t="shared" si="0"/>
        <v>41</v>
      </c>
      <c r="D25" s="1000">
        <v>23</v>
      </c>
      <c r="E25" s="1000">
        <v>6</v>
      </c>
      <c r="F25" s="1000">
        <v>6</v>
      </c>
      <c r="G25" s="1000">
        <v>6</v>
      </c>
      <c r="H25" s="999">
        <f t="shared" si="1"/>
        <v>10</v>
      </c>
      <c r="I25" s="1000">
        <v>4</v>
      </c>
      <c r="J25" s="1000">
        <v>2</v>
      </c>
      <c r="K25" s="1000">
        <v>1</v>
      </c>
      <c r="L25" s="1000">
        <v>1</v>
      </c>
      <c r="M25" s="1000">
        <v>2</v>
      </c>
      <c r="N25" s="1000"/>
      <c r="O25" s="1000">
        <v>1</v>
      </c>
      <c r="P25" s="1011">
        <f t="shared" si="2"/>
        <v>52</v>
      </c>
    </row>
    <row r="26" spans="1:16" ht="21.75" customHeight="1">
      <c r="A26" s="957" t="s">
        <v>796</v>
      </c>
      <c r="B26" s="958" t="s">
        <v>817</v>
      </c>
      <c r="C26" s="999">
        <f t="shared" si="0"/>
        <v>137</v>
      </c>
      <c r="D26" s="1000">
        <v>88</v>
      </c>
      <c r="E26" s="1000">
        <v>19</v>
      </c>
      <c r="F26" s="1000">
        <v>23</v>
      </c>
      <c r="G26" s="1000">
        <v>7</v>
      </c>
      <c r="H26" s="999">
        <f t="shared" si="1"/>
        <v>25</v>
      </c>
      <c r="I26" s="1000">
        <v>11</v>
      </c>
      <c r="J26" s="1000">
        <v>4</v>
      </c>
      <c r="K26" s="1000">
        <v>5</v>
      </c>
      <c r="L26" s="1000">
        <v>1</v>
      </c>
      <c r="M26" s="1000">
        <v>2</v>
      </c>
      <c r="N26" s="1000">
        <v>2</v>
      </c>
      <c r="O26" s="1000">
        <v>2</v>
      </c>
      <c r="P26" s="1011">
        <f>+O26+H26+C26</f>
        <v>164</v>
      </c>
    </row>
    <row r="27" spans="1:16" ht="27.75" customHeight="1">
      <c r="A27" s="957" t="s">
        <v>788</v>
      </c>
      <c r="B27" s="963" t="s">
        <v>232</v>
      </c>
      <c r="C27" s="999">
        <f t="shared" si="0"/>
        <v>721</v>
      </c>
      <c r="D27" s="1000">
        <v>433</v>
      </c>
      <c r="E27" s="1000">
        <v>137</v>
      </c>
      <c r="F27" s="1000">
        <v>85</v>
      </c>
      <c r="G27" s="1000">
        <v>66</v>
      </c>
      <c r="H27" s="999">
        <f t="shared" si="1"/>
        <v>644</v>
      </c>
      <c r="I27" s="1000">
        <v>303</v>
      </c>
      <c r="J27" s="1000">
        <v>82</v>
      </c>
      <c r="K27" s="1000">
        <v>67</v>
      </c>
      <c r="L27" s="1000">
        <v>22</v>
      </c>
      <c r="M27" s="1000">
        <v>107</v>
      </c>
      <c r="N27" s="1000">
        <v>63</v>
      </c>
      <c r="O27" s="1000">
        <v>35</v>
      </c>
      <c r="P27" s="1011">
        <f t="shared" si="2"/>
        <v>1400</v>
      </c>
    </row>
    <row r="28" spans="1:16" ht="21.75" customHeight="1">
      <c r="A28" s="964"/>
      <c r="B28" s="964" t="s">
        <v>923</v>
      </c>
      <c r="C28" s="1012">
        <f>SUM(C10:C27)</f>
        <v>7773</v>
      </c>
      <c r="D28" s="1013">
        <f t="shared" ref="D28:P28" si="3">SUM(D10:D27)</f>
        <v>4899</v>
      </c>
      <c r="E28" s="1013">
        <f t="shared" si="3"/>
        <v>1331</v>
      </c>
      <c r="F28" s="1013">
        <f t="shared" si="3"/>
        <v>862</v>
      </c>
      <c r="G28" s="1013">
        <f t="shared" si="3"/>
        <v>681</v>
      </c>
      <c r="H28" s="1012">
        <f t="shared" si="3"/>
        <v>1755</v>
      </c>
      <c r="I28" s="1013">
        <f t="shared" si="3"/>
        <v>898</v>
      </c>
      <c r="J28" s="1013">
        <f t="shared" si="3"/>
        <v>196</v>
      </c>
      <c r="K28" s="1013">
        <f t="shared" si="3"/>
        <v>202</v>
      </c>
      <c r="L28" s="1013">
        <f t="shared" si="3"/>
        <v>68</v>
      </c>
      <c r="M28" s="1013">
        <f t="shared" si="3"/>
        <v>237</v>
      </c>
      <c r="N28" s="1013">
        <f t="shared" si="3"/>
        <v>154</v>
      </c>
      <c r="O28" s="1013">
        <f t="shared" si="3"/>
        <v>143</v>
      </c>
      <c r="P28" s="968">
        <f t="shared" si="3"/>
        <v>9671</v>
      </c>
    </row>
    <row r="29" spans="1:16" ht="21.75" customHeight="1">
      <c r="A29" s="969"/>
      <c r="B29" s="969"/>
      <c r="C29" s="970"/>
      <c r="D29" s="1002"/>
      <c r="E29" s="1002"/>
      <c r="F29" s="1002"/>
      <c r="G29" s="1002"/>
      <c r="H29" s="1002"/>
      <c r="I29" s="1002"/>
      <c r="J29" s="1002"/>
      <c r="K29" s="1002"/>
      <c r="L29" s="1002"/>
      <c r="M29" s="1002"/>
      <c r="N29" s="1014"/>
      <c r="O29" s="1000"/>
    </row>
    <row r="30" spans="1:16" ht="21.75" customHeight="1">
      <c r="A30" s="969"/>
      <c r="B30" s="969"/>
      <c r="C30" s="970"/>
      <c r="D30" s="1002"/>
      <c r="E30" s="1002"/>
      <c r="F30" s="1002"/>
      <c r="G30" s="1002"/>
      <c r="H30" s="1002"/>
      <c r="I30" s="1002"/>
      <c r="J30" s="1002"/>
      <c r="K30" s="1002"/>
      <c r="L30" s="1002"/>
      <c r="M30" s="1002"/>
      <c r="N30" s="1014"/>
      <c r="O30" s="1000"/>
      <c r="P30" s="977"/>
    </row>
    <row r="31" spans="1:16" ht="21.75" customHeight="1">
      <c r="A31" s="969"/>
      <c r="B31" s="969"/>
      <c r="C31" s="970"/>
      <c r="D31" s="1002"/>
      <c r="E31" s="1002"/>
      <c r="F31" s="1002"/>
      <c r="G31" s="1002"/>
      <c r="H31" s="1002"/>
      <c r="I31" s="1002"/>
      <c r="J31" s="1002"/>
      <c r="K31" s="1002"/>
      <c r="L31" s="1002"/>
      <c r="M31" s="1002"/>
      <c r="N31" s="1014"/>
      <c r="O31" s="1000"/>
    </row>
    <row r="32" spans="1:16" ht="19.5" customHeight="1">
      <c r="A32" s="1297" t="s">
        <v>233</v>
      </c>
      <c r="B32" s="1297"/>
      <c r="C32" s="1297"/>
      <c r="D32" s="1297"/>
      <c r="E32" s="1297"/>
      <c r="F32" s="1297"/>
      <c r="G32" s="1297"/>
      <c r="H32" s="1297"/>
      <c r="I32" s="1297"/>
      <c r="J32" s="1297"/>
      <c r="K32" s="1297"/>
      <c r="L32" s="1297"/>
      <c r="M32" s="1297"/>
      <c r="N32" s="1016"/>
      <c r="O32" s="1000"/>
    </row>
    <row r="33" spans="1:15">
      <c r="A33" s="1015"/>
      <c r="B33" s="1015"/>
      <c r="C33" s="1017"/>
      <c r="D33" s="1017"/>
      <c r="E33" s="1017"/>
      <c r="F33" s="1017"/>
      <c r="G33" s="1000"/>
      <c r="H33" s="1000"/>
      <c r="I33" s="1000"/>
      <c r="J33" s="1000"/>
      <c r="K33" s="1000"/>
      <c r="L33" s="1000"/>
      <c r="M33" s="1000"/>
      <c r="N33" s="1000"/>
      <c r="O33" s="1000"/>
    </row>
    <row r="34" spans="1:15">
      <c r="A34" s="1297" t="str">
        <f>+A3</f>
        <v>SERVICIO DE SALUD   ACONCAGUA   2014</v>
      </c>
      <c r="B34" s="1297"/>
      <c r="C34" s="1297"/>
      <c r="D34" s="1297"/>
      <c r="E34" s="1297"/>
      <c r="F34" s="1297"/>
      <c r="G34" s="1297"/>
      <c r="H34" s="1297"/>
      <c r="I34" s="1297"/>
      <c r="J34" s="1297"/>
      <c r="K34" s="1297"/>
      <c r="L34" s="1297"/>
      <c r="M34" s="1297"/>
      <c r="N34" s="1000"/>
      <c r="O34" s="1000"/>
    </row>
    <row r="35" spans="1:15">
      <c r="A35" s="990"/>
      <c r="B35" s="990"/>
      <c r="C35" s="990"/>
      <c r="D35" s="1009"/>
      <c r="E35" s="1009"/>
      <c r="F35" s="1009"/>
      <c r="G35" s="1000"/>
      <c r="H35" s="1000"/>
      <c r="I35" s="1000"/>
      <c r="J35" s="1000"/>
      <c r="K35" s="1000"/>
      <c r="L35" s="1000"/>
      <c r="M35" s="1000"/>
      <c r="N35" s="1000"/>
      <c r="O35" s="1000"/>
    </row>
    <row r="36" spans="1:15">
      <c r="A36" s="1293" t="s">
        <v>1007</v>
      </c>
      <c r="B36" s="1293"/>
      <c r="C36" s="1293"/>
      <c r="D36" s="1293"/>
      <c r="E36" s="1293"/>
      <c r="F36" s="1293"/>
      <c r="G36" s="1293"/>
      <c r="H36" s="1293"/>
      <c r="I36" s="1293"/>
      <c r="J36" s="1293"/>
      <c r="K36" s="1293"/>
      <c r="L36" s="1293"/>
      <c r="M36" s="1293"/>
      <c r="N36" s="1000"/>
      <c r="O36" s="1000"/>
    </row>
    <row r="37" spans="1:15">
      <c r="D37" s="1000"/>
      <c r="E37" s="1000"/>
      <c r="F37" s="1000"/>
      <c r="G37" s="1000"/>
      <c r="H37" s="1000"/>
      <c r="I37" s="1000"/>
      <c r="J37" s="1000"/>
      <c r="K37" s="1000"/>
      <c r="L37" s="1000"/>
      <c r="M37" s="1000"/>
      <c r="N37" s="1000"/>
      <c r="O37" s="1000"/>
    </row>
    <row r="38" spans="1:15" ht="21.75" customHeight="1">
      <c r="A38" s="992" t="s">
        <v>756</v>
      </c>
      <c r="B38" s="943"/>
      <c r="C38" s="1294" t="s">
        <v>805</v>
      </c>
      <c r="D38" s="1295"/>
      <c r="E38" s="1295"/>
      <c r="F38" s="1295"/>
      <c r="G38" s="1295"/>
      <c r="H38" s="1295"/>
      <c r="I38" s="1295"/>
      <c r="J38" s="1295"/>
      <c r="K38" s="1295"/>
      <c r="L38" s="1295"/>
      <c r="M38" s="1296"/>
      <c r="N38" s="1018"/>
      <c r="O38" s="1000"/>
    </row>
    <row r="39" spans="1:15" ht="23.25" customHeight="1">
      <c r="A39" s="993" t="s">
        <v>758</v>
      </c>
      <c r="B39" s="994" t="s">
        <v>759</v>
      </c>
      <c r="C39" s="951" t="s">
        <v>807</v>
      </c>
      <c r="D39" s="1019" t="s">
        <v>808</v>
      </c>
      <c r="E39" s="1019" t="s">
        <v>809</v>
      </c>
      <c r="F39" s="1019" t="s">
        <v>810</v>
      </c>
      <c r="G39" s="1019" t="s">
        <v>811</v>
      </c>
      <c r="H39" s="1019" t="s">
        <v>812</v>
      </c>
      <c r="I39" s="1019" t="s">
        <v>813</v>
      </c>
      <c r="J39" s="1019" t="s">
        <v>814</v>
      </c>
      <c r="K39" s="1019" t="s">
        <v>815</v>
      </c>
      <c r="L39" s="1019" t="s">
        <v>816</v>
      </c>
      <c r="M39" s="1020" t="s">
        <v>571</v>
      </c>
      <c r="N39" s="1000"/>
      <c r="O39" s="1000"/>
    </row>
    <row r="40" spans="1:15">
      <c r="A40" s="953"/>
      <c r="B40" s="954"/>
      <c r="C40" s="955"/>
      <c r="D40" s="996"/>
      <c r="E40" s="996"/>
      <c r="F40" s="996"/>
      <c r="G40" s="996"/>
      <c r="H40" s="996"/>
      <c r="I40" s="996"/>
      <c r="J40" s="996"/>
      <c r="K40" s="996"/>
      <c r="L40" s="996"/>
      <c r="M40" s="1021"/>
      <c r="N40" s="1000"/>
      <c r="O40" s="1000"/>
    </row>
    <row r="41" spans="1:15" ht="20.25" customHeight="1">
      <c r="A41" s="957" t="s">
        <v>794</v>
      </c>
      <c r="B41" s="958" t="s">
        <v>795</v>
      </c>
      <c r="D41" s="996"/>
      <c r="E41" s="996">
        <v>4</v>
      </c>
      <c r="F41" s="996">
        <v>40</v>
      </c>
      <c r="G41" s="996">
        <v>14</v>
      </c>
      <c r="H41" s="996">
        <v>6</v>
      </c>
      <c r="I41" s="1000">
        <v>3</v>
      </c>
      <c r="J41" s="1000">
        <v>19</v>
      </c>
      <c r="K41" s="1000">
        <v>30</v>
      </c>
      <c r="L41" s="1000">
        <v>62</v>
      </c>
      <c r="M41" s="1022">
        <f t="shared" ref="M41:M58" si="4">SUM(B41:L41)</f>
        <v>178</v>
      </c>
      <c r="N41" s="1000"/>
      <c r="O41" s="1000"/>
    </row>
    <row r="42" spans="1:15" ht="19.5" customHeight="1">
      <c r="A42" s="957" t="s">
        <v>769</v>
      </c>
      <c r="B42" s="958" t="s">
        <v>770</v>
      </c>
      <c r="D42" s="1000"/>
      <c r="E42" s="1000"/>
      <c r="F42" s="1000">
        <v>3</v>
      </c>
      <c r="G42" s="1000">
        <v>2</v>
      </c>
      <c r="H42" s="1000">
        <v>4</v>
      </c>
      <c r="I42" s="1000">
        <v>5</v>
      </c>
      <c r="J42" s="1000">
        <v>125</v>
      </c>
      <c r="K42" s="1000">
        <v>218</v>
      </c>
      <c r="L42" s="1000">
        <v>229</v>
      </c>
      <c r="M42" s="1022">
        <f t="shared" si="4"/>
        <v>586</v>
      </c>
      <c r="N42" s="1000"/>
      <c r="O42" s="1000"/>
    </row>
    <row r="43" spans="1:15" ht="18" customHeight="1">
      <c r="A43" s="957" t="s">
        <v>218</v>
      </c>
      <c r="B43" s="958" t="s">
        <v>219</v>
      </c>
      <c r="C43" s="1000"/>
      <c r="D43" s="1000"/>
      <c r="E43" s="1000"/>
      <c r="F43" s="1000">
        <v>3</v>
      </c>
      <c r="G43" s="1000">
        <v>4</v>
      </c>
      <c r="H43" s="1000">
        <v>1</v>
      </c>
      <c r="I43" s="1000"/>
      <c r="J43" s="1000">
        <v>5</v>
      </c>
      <c r="K43" s="1000">
        <v>16</v>
      </c>
      <c r="L43" s="1000">
        <v>14</v>
      </c>
      <c r="M43" s="1022">
        <f t="shared" si="4"/>
        <v>43</v>
      </c>
      <c r="N43" s="1000"/>
      <c r="O43" s="1000"/>
    </row>
    <row r="44" spans="1:15" ht="17.25" customHeight="1">
      <c r="A44" s="957" t="s">
        <v>798</v>
      </c>
      <c r="B44" s="958" t="s">
        <v>799</v>
      </c>
      <c r="D44" s="1000"/>
      <c r="E44" s="1000">
        <v>1</v>
      </c>
      <c r="F44" s="1000"/>
      <c r="G44" s="1000">
        <v>3</v>
      </c>
      <c r="H44" s="1000">
        <v>4</v>
      </c>
      <c r="I44" s="1000">
        <v>5</v>
      </c>
      <c r="J44" s="1000">
        <v>34</v>
      </c>
      <c r="K44" s="1000">
        <v>57</v>
      </c>
      <c r="L44" s="1000">
        <v>73</v>
      </c>
      <c r="M44" s="1022">
        <f t="shared" si="4"/>
        <v>177</v>
      </c>
      <c r="N44" s="1000"/>
      <c r="O44" s="1000"/>
    </row>
    <row r="45" spans="1:15" ht="17.25" customHeight="1">
      <c r="A45" s="957" t="s">
        <v>220</v>
      </c>
      <c r="B45" s="958" t="s">
        <v>221</v>
      </c>
      <c r="D45" s="1000"/>
      <c r="E45" s="1000"/>
      <c r="F45" s="1000"/>
      <c r="G45" s="1000">
        <v>2</v>
      </c>
      <c r="H45" s="1000"/>
      <c r="I45" s="1000"/>
      <c r="J45" s="1000">
        <v>14</v>
      </c>
      <c r="K45" s="1000">
        <v>7</v>
      </c>
      <c r="L45" s="1000">
        <v>10</v>
      </c>
      <c r="M45" s="1022">
        <f t="shared" si="4"/>
        <v>33</v>
      </c>
      <c r="N45" s="1000"/>
      <c r="O45" s="1000"/>
    </row>
    <row r="46" spans="1:15" ht="17.25" customHeight="1">
      <c r="A46" s="957" t="s">
        <v>222</v>
      </c>
      <c r="B46" s="958" t="s">
        <v>223</v>
      </c>
      <c r="D46" s="1000"/>
      <c r="E46" s="1000"/>
      <c r="F46" s="1000">
        <v>6</v>
      </c>
      <c r="G46" s="1000"/>
      <c r="H46" s="1000">
        <v>5</v>
      </c>
      <c r="I46" s="1000">
        <v>1</v>
      </c>
      <c r="J46" s="1000">
        <v>22</v>
      </c>
      <c r="K46" s="1000">
        <v>23</v>
      </c>
      <c r="L46" s="1000">
        <v>26</v>
      </c>
      <c r="M46" s="1022">
        <f t="shared" si="4"/>
        <v>83</v>
      </c>
      <c r="N46" s="1000"/>
      <c r="O46" s="1000"/>
    </row>
    <row r="47" spans="1:15" ht="17.25" customHeight="1">
      <c r="A47" s="957" t="s">
        <v>224</v>
      </c>
      <c r="B47" s="958" t="s">
        <v>225</v>
      </c>
      <c r="D47" s="1000"/>
      <c r="E47" s="1000"/>
      <c r="F47" s="1000">
        <v>2</v>
      </c>
      <c r="G47" s="1000"/>
      <c r="H47" s="1000">
        <v>2</v>
      </c>
      <c r="I47" s="1000"/>
      <c r="J47" s="1000">
        <v>2</v>
      </c>
      <c r="K47" s="1000">
        <v>4</v>
      </c>
      <c r="L47" s="1000">
        <v>4</v>
      </c>
      <c r="M47" s="1022">
        <f t="shared" si="4"/>
        <v>14</v>
      </c>
      <c r="N47" s="1000"/>
      <c r="O47" s="1000"/>
    </row>
    <row r="48" spans="1:15" ht="21" customHeight="1">
      <c r="A48" s="957" t="s">
        <v>767</v>
      </c>
      <c r="B48" s="958" t="s">
        <v>768</v>
      </c>
      <c r="D48" s="1000"/>
      <c r="E48" s="1000">
        <v>1</v>
      </c>
      <c r="F48" s="1000">
        <v>3</v>
      </c>
      <c r="G48" s="1000">
        <v>2</v>
      </c>
      <c r="H48" s="1000">
        <v>4</v>
      </c>
      <c r="I48" s="1000">
        <v>20</v>
      </c>
      <c r="J48" s="1000">
        <v>102</v>
      </c>
      <c r="K48" s="1000">
        <v>270</v>
      </c>
      <c r="L48" s="1000">
        <v>439</v>
      </c>
      <c r="M48" s="1022">
        <f t="shared" si="4"/>
        <v>841</v>
      </c>
      <c r="N48" s="1000"/>
      <c r="O48" s="1000"/>
    </row>
    <row r="49" spans="1:15" ht="23.25" customHeight="1">
      <c r="A49" s="957" t="s">
        <v>771</v>
      </c>
      <c r="B49" s="958" t="s">
        <v>772</v>
      </c>
      <c r="D49" s="1000"/>
      <c r="E49" s="1000">
        <v>47</v>
      </c>
      <c r="F49" s="1000">
        <v>109</v>
      </c>
      <c r="G49" s="1000">
        <v>23</v>
      </c>
      <c r="H49" s="1000">
        <v>4</v>
      </c>
      <c r="I49" s="1000">
        <v>2</v>
      </c>
      <c r="J49" s="1000">
        <v>25</v>
      </c>
      <c r="K49" s="1000">
        <v>48</v>
      </c>
      <c r="L49" s="1000">
        <v>195</v>
      </c>
      <c r="M49" s="1022">
        <f t="shared" si="4"/>
        <v>453</v>
      </c>
      <c r="N49" s="1000"/>
      <c r="O49" s="1000"/>
    </row>
    <row r="50" spans="1:15" ht="19.5" customHeight="1">
      <c r="A50" s="957" t="s">
        <v>790</v>
      </c>
      <c r="B50" s="958" t="s">
        <v>791</v>
      </c>
      <c r="D50" s="1000"/>
      <c r="E50" s="1000">
        <v>2</v>
      </c>
      <c r="F50" s="1000">
        <v>8</v>
      </c>
      <c r="G50" s="1000">
        <v>32</v>
      </c>
      <c r="H50" s="1000">
        <v>41</v>
      </c>
      <c r="I50" s="1000">
        <v>68</v>
      </c>
      <c r="J50" s="1000">
        <v>441</v>
      </c>
      <c r="K50" s="1000">
        <v>467</v>
      </c>
      <c r="L50" s="1000">
        <v>351</v>
      </c>
      <c r="M50" s="1022">
        <f t="shared" si="4"/>
        <v>1410</v>
      </c>
      <c r="N50" s="1000"/>
      <c r="O50" s="1000"/>
    </row>
    <row r="51" spans="1:15" ht="18" customHeight="1">
      <c r="A51" s="957" t="s">
        <v>226</v>
      </c>
      <c r="B51" s="958" t="s">
        <v>227</v>
      </c>
      <c r="D51" s="1000"/>
      <c r="E51" s="1000">
        <v>1</v>
      </c>
      <c r="F51" s="1000">
        <v>5</v>
      </c>
      <c r="G51" s="1000">
        <v>3</v>
      </c>
      <c r="H51" s="1000">
        <v>2</v>
      </c>
      <c r="I51" s="1000">
        <v>4</v>
      </c>
      <c r="J51" s="1000">
        <v>22</v>
      </c>
      <c r="K51" s="1000">
        <v>37</v>
      </c>
      <c r="L51" s="1000">
        <v>31</v>
      </c>
      <c r="M51" s="1022">
        <f t="shared" si="4"/>
        <v>105</v>
      </c>
      <c r="N51" s="1000"/>
      <c r="O51" s="1000"/>
    </row>
    <row r="52" spans="1:15" ht="19.5" customHeight="1">
      <c r="A52" s="957" t="s">
        <v>228</v>
      </c>
      <c r="B52" s="958" t="s">
        <v>229</v>
      </c>
      <c r="D52" s="1000"/>
      <c r="E52" s="1000"/>
      <c r="F52" s="1000">
        <v>8</v>
      </c>
      <c r="G52" s="1000">
        <v>5</v>
      </c>
      <c r="H52" s="1000">
        <v>21</v>
      </c>
      <c r="I52" s="1000">
        <v>34</v>
      </c>
      <c r="J52" s="1000">
        <v>187</v>
      </c>
      <c r="K52" s="1000">
        <v>271</v>
      </c>
      <c r="L52" s="1000">
        <v>157</v>
      </c>
      <c r="M52" s="1022">
        <f t="shared" si="4"/>
        <v>683</v>
      </c>
      <c r="N52" s="1000"/>
      <c r="O52" s="1000"/>
    </row>
    <row r="53" spans="1:15" ht="18.75" customHeight="1">
      <c r="A53" s="957" t="s">
        <v>792</v>
      </c>
      <c r="B53" s="958" t="s">
        <v>793</v>
      </c>
      <c r="D53" s="1000"/>
      <c r="E53" s="1000">
        <v>8</v>
      </c>
      <c r="F53" s="1000">
        <v>31</v>
      </c>
      <c r="G53" s="1000">
        <v>19</v>
      </c>
      <c r="H53" s="1000">
        <v>12</v>
      </c>
      <c r="I53" s="1000">
        <v>45</v>
      </c>
      <c r="J53" s="1000">
        <v>305</v>
      </c>
      <c r="K53" s="1000">
        <v>353</v>
      </c>
      <c r="L53" s="1000">
        <v>332</v>
      </c>
      <c r="M53" s="1022">
        <f t="shared" si="4"/>
        <v>1105</v>
      </c>
      <c r="N53" s="1000"/>
      <c r="O53" s="1000"/>
    </row>
    <row r="54" spans="1:15" ht="18.75" customHeight="1">
      <c r="A54" s="957" t="s">
        <v>230</v>
      </c>
      <c r="B54" s="958" t="s">
        <v>231</v>
      </c>
      <c r="D54" s="1000"/>
      <c r="E54" s="1091"/>
      <c r="F54" s="1006"/>
      <c r="G54" s="1091"/>
      <c r="H54" s="1000">
        <v>1</v>
      </c>
      <c r="I54" s="1000">
        <v>263</v>
      </c>
      <c r="J54" s="1000">
        <v>1753</v>
      </c>
      <c r="K54" s="1007">
        <v>16</v>
      </c>
      <c r="L54" s="1006"/>
      <c r="M54" s="1022">
        <f t="shared" si="4"/>
        <v>2033</v>
      </c>
      <c r="N54" s="1000"/>
      <c r="O54" s="1000"/>
    </row>
    <row r="55" spans="1:15" ht="18" customHeight="1">
      <c r="A55" s="957" t="s">
        <v>800</v>
      </c>
      <c r="B55" s="958" t="s">
        <v>801</v>
      </c>
      <c r="C55" s="1000">
        <v>154</v>
      </c>
      <c r="D55" s="1000">
        <v>157</v>
      </c>
      <c r="E55" s="1091"/>
      <c r="F55" s="1006"/>
      <c r="G55" s="1091"/>
      <c r="H55" s="1006"/>
      <c r="I55" s="1006"/>
      <c r="J55" s="1006"/>
      <c r="K55" s="1006"/>
      <c r="L55" s="1006"/>
      <c r="M55" s="1022">
        <f>SUM(B55:L55)</f>
        <v>311</v>
      </c>
      <c r="N55" s="1000"/>
      <c r="O55" s="1000"/>
    </row>
    <row r="56" spans="1:15" ht="20.25" customHeight="1">
      <c r="A56" s="957" t="s">
        <v>802</v>
      </c>
      <c r="B56" s="958" t="s">
        <v>803</v>
      </c>
      <c r="C56" s="1000"/>
      <c r="D56" s="1000"/>
      <c r="E56" s="1000">
        <v>2</v>
      </c>
      <c r="F56" s="1000">
        <v>20</v>
      </c>
      <c r="G56" s="1000">
        <v>10</v>
      </c>
      <c r="H56" s="1000">
        <v>6</v>
      </c>
      <c r="I56" s="1000">
        <v>4</v>
      </c>
      <c r="J56" s="1000">
        <v>3</v>
      </c>
      <c r="K56" s="1000">
        <v>7</v>
      </c>
      <c r="L56" s="1000"/>
      <c r="M56" s="1022">
        <f t="shared" si="4"/>
        <v>52</v>
      </c>
      <c r="N56" s="1000"/>
      <c r="O56" s="1000"/>
    </row>
    <row r="57" spans="1:15" ht="19.5" customHeight="1">
      <c r="A57" s="957" t="s">
        <v>796</v>
      </c>
      <c r="B57" s="958" t="s">
        <v>817</v>
      </c>
      <c r="C57" s="1000"/>
      <c r="D57" s="1000"/>
      <c r="E57" s="1000">
        <v>8</v>
      </c>
      <c r="F57" s="1000">
        <v>18</v>
      </c>
      <c r="G57" s="1000">
        <v>13</v>
      </c>
      <c r="H57" s="1000">
        <v>11</v>
      </c>
      <c r="I57" s="1000">
        <v>9</v>
      </c>
      <c r="J57" s="1000">
        <v>21</v>
      </c>
      <c r="K57" s="1000">
        <v>30</v>
      </c>
      <c r="L57" s="1000">
        <v>54</v>
      </c>
      <c r="M57" s="1022">
        <f t="shared" si="4"/>
        <v>164</v>
      </c>
      <c r="N57" s="1000"/>
      <c r="O57" s="1000"/>
    </row>
    <row r="58" spans="1:15" ht="27.75" customHeight="1">
      <c r="A58" s="957" t="s">
        <v>788</v>
      </c>
      <c r="B58" s="963" t="s">
        <v>232</v>
      </c>
      <c r="C58" s="1000"/>
      <c r="D58" s="1000"/>
      <c r="E58" s="1000">
        <v>4</v>
      </c>
      <c r="F58" s="1000">
        <v>48</v>
      </c>
      <c r="G58" s="1000">
        <v>68</v>
      </c>
      <c r="H58" s="1000">
        <v>115</v>
      </c>
      <c r="I58" s="1000">
        <v>88</v>
      </c>
      <c r="J58" s="1000">
        <v>442</v>
      </c>
      <c r="K58" s="1000">
        <v>304</v>
      </c>
      <c r="L58" s="1000">
        <v>331</v>
      </c>
      <c r="M58" s="1022">
        <f t="shared" si="4"/>
        <v>1400</v>
      </c>
      <c r="N58" s="1000"/>
      <c r="O58" s="1000"/>
    </row>
    <row r="59" spans="1:15" ht="19.5" customHeight="1">
      <c r="A59" s="964"/>
      <c r="B59" s="964" t="s">
        <v>923</v>
      </c>
      <c r="C59" s="1023">
        <f t="shared" ref="C59:L59" si="5">SUM(C41:C58)</f>
        <v>154</v>
      </c>
      <c r="D59" s="1013">
        <f t="shared" si="5"/>
        <v>157</v>
      </c>
      <c r="E59" s="1024">
        <f t="shared" si="5"/>
        <v>78</v>
      </c>
      <c r="F59" s="1024">
        <f t="shared" si="5"/>
        <v>304</v>
      </c>
      <c r="G59" s="1024">
        <f t="shared" si="5"/>
        <v>200</v>
      </c>
      <c r="H59" s="1024">
        <f t="shared" si="5"/>
        <v>239</v>
      </c>
      <c r="I59" s="1024">
        <f t="shared" si="5"/>
        <v>551</v>
      </c>
      <c r="J59" s="1024">
        <f t="shared" si="5"/>
        <v>3522</v>
      </c>
      <c r="K59" s="1024">
        <f t="shared" si="5"/>
        <v>2158</v>
      </c>
      <c r="L59" s="1024">
        <f t="shared" si="5"/>
        <v>2308</v>
      </c>
      <c r="M59" s="1025">
        <f>SUM(M41:M58)</f>
        <v>9671</v>
      </c>
      <c r="N59" s="1000"/>
      <c r="O59" s="1000"/>
    </row>
    <row r="60" spans="1:15">
      <c r="D60" s="1000"/>
      <c r="E60" s="1000"/>
      <c r="F60" s="1000"/>
      <c r="G60" s="1000"/>
      <c r="H60" s="1000"/>
      <c r="I60" s="1000"/>
      <c r="J60" s="1000"/>
      <c r="K60" s="1000"/>
      <c r="L60" s="1000"/>
      <c r="M60" s="1118"/>
      <c r="N60" s="1000"/>
      <c r="O60" s="1000"/>
    </row>
    <row r="61" spans="1:15">
      <c r="D61" s="1000"/>
      <c r="E61" s="1000"/>
      <c r="F61" s="1000"/>
      <c r="G61" s="1000"/>
      <c r="H61" s="1000"/>
      <c r="I61" s="1000"/>
      <c r="J61" s="1001"/>
      <c r="K61" s="1000"/>
      <c r="L61" s="1000"/>
      <c r="M61" s="1000"/>
      <c r="N61" s="1000"/>
      <c r="O61" s="1000"/>
    </row>
    <row r="62" spans="1:15">
      <c r="D62" s="1000"/>
      <c r="E62" s="1000"/>
      <c r="F62" s="1000"/>
      <c r="G62" s="1000"/>
      <c r="H62" s="1000"/>
      <c r="I62" s="1000"/>
      <c r="J62" s="1000"/>
      <c r="K62" s="1000"/>
      <c r="L62" s="1000"/>
      <c r="M62" s="1000"/>
      <c r="N62" s="1000"/>
      <c r="O62" s="1000"/>
    </row>
    <row r="63" spans="1:15">
      <c r="D63" s="1000"/>
      <c r="E63" s="1000"/>
      <c r="F63" s="1000"/>
      <c r="G63" s="1000"/>
      <c r="H63" s="1000"/>
      <c r="I63" s="1000"/>
      <c r="J63" s="1000"/>
      <c r="K63" s="1000"/>
      <c r="L63" s="1000"/>
      <c r="M63" s="1000"/>
      <c r="N63" s="1000"/>
      <c r="O63" s="1000"/>
    </row>
    <row r="64" spans="1:15">
      <c r="D64" s="1000"/>
      <c r="E64" s="1000"/>
      <c r="F64" s="1000"/>
      <c r="G64" s="1000"/>
      <c r="H64" s="1000"/>
      <c r="I64" s="1000"/>
      <c r="J64" s="1000"/>
      <c r="K64" s="1000"/>
      <c r="L64" s="1000"/>
      <c r="M64" s="1000"/>
      <c r="N64" s="1000"/>
      <c r="O64" s="1000"/>
    </row>
    <row r="65" spans="4:15">
      <c r="D65" s="1000"/>
      <c r="E65" s="1000"/>
      <c r="F65" s="1000"/>
      <c r="G65" s="1000"/>
      <c r="H65" s="1000"/>
      <c r="I65" s="1000"/>
      <c r="J65" s="1000"/>
      <c r="K65" s="1000"/>
      <c r="L65" s="1000"/>
      <c r="M65" s="1000"/>
      <c r="N65" s="1000"/>
      <c r="O65" s="1000"/>
    </row>
    <row r="66" spans="4:15">
      <c r="D66" s="1000"/>
      <c r="E66" s="1000"/>
      <c r="F66" s="1000"/>
      <c r="G66" s="1000"/>
      <c r="H66" s="1000"/>
      <c r="I66" s="1000"/>
      <c r="J66" s="1000"/>
      <c r="K66" s="1000"/>
      <c r="L66" s="1000"/>
      <c r="M66" s="1000"/>
      <c r="N66" s="1000"/>
      <c r="O66" s="1000"/>
    </row>
    <row r="67" spans="4:15">
      <c r="D67" s="1000"/>
      <c r="E67" s="1000"/>
      <c r="F67" s="1000"/>
      <c r="G67" s="1000"/>
      <c r="H67" s="1000"/>
      <c r="I67" s="1000"/>
      <c r="J67" s="1000"/>
      <c r="K67" s="1000"/>
      <c r="L67" s="1000"/>
      <c r="M67" s="1000"/>
      <c r="N67" s="1000"/>
      <c r="O67" s="1000"/>
    </row>
    <row r="68" spans="4:15">
      <c r="D68" s="1000"/>
      <c r="E68" s="1000"/>
      <c r="F68" s="1000"/>
      <c r="G68" s="1000"/>
      <c r="H68" s="1000"/>
      <c r="I68" s="1000"/>
      <c r="J68" s="1000"/>
      <c r="K68" s="1000"/>
      <c r="L68" s="1000"/>
      <c r="M68" s="1000"/>
      <c r="N68" s="1000"/>
      <c r="O68" s="1000"/>
    </row>
    <row r="69" spans="4:15">
      <c r="D69" s="1000"/>
      <c r="E69" s="1000"/>
      <c r="F69" s="1000"/>
      <c r="G69" s="1000"/>
      <c r="H69" s="1000"/>
      <c r="I69" s="1000"/>
      <c r="J69" s="1000"/>
      <c r="K69" s="1000"/>
      <c r="L69" s="1000"/>
      <c r="M69" s="1000"/>
      <c r="N69" s="1000"/>
      <c r="O69" s="1000"/>
    </row>
    <row r="70" spans="4:15">
      <c r="D70" s="1000"/>
      <c r="E70" s="1000"/>
      <c r="F70" s="1000"/>
      <c r="G70" s="1000"/>
      <c r="H70" s="1000"/>
      <c r="I70" s="1000"/>
      <c r="J70" s="1000"/>
      <c r="K70" s="1000"/>
      <c r="L70" s="1000"/>
      <c r="M70" s="1000"/>
      <c r="N70" s="1000"/>
      <c r="O70" s="1000"/>
    </row>
    <row r="71" spans="4:15">
      <c r="D71" s="1000"/>
      <c r="E71" s="1000"/>
      <c r="F71" s="1000"/>
      <c r="G71" s="1000"/>
      <c r="H71" s="1000"/>
      <c r="I71" s="1000"/>
      <c r="J71" s="1000"/>
      <c r="K71" s="1000"/>
      <c r="L71" s="1000"/>
      <c r="M71" s="1000"/>
      <c r="N71" s="1000"/>
      <c r="O71" s="1000"/>
    </row>
    <row r="72" spans="4:15">
      <c r="D72" s="1000"/>
      <c r="E72" s="1000"/>
      <c r="F72" s="1000"/>
      <c r="G72" s="1000"/>
      <c r="H72" s="1000"/>
      <c r="I72" s="1000"/>
      <c r="J72" s="1000"/>
      <c r="K72" s="1000"/>
      <c r="L72" s="1000"/>
      <c r="M72" s="1000"/>
      <c r="N72" s="1000"/>
      <c r="O72" s="1000"/>
    </row>
    <row r="73" spans="4:15">
      <c r="D73" s="1000"/>
      <c r="E73" s="1000"/>
      <c r="F73" s="1000"/>
      <c r="G73" s="1000"/>
      <c r="H73" s="1000"/>
      <c r="I73" s="1000"/>
      <c r="J73" s="1000"/>
      <c r="K73" s="1000"/>
      <c r="L73" s="1000"/>
      <c r="M73" s="1000"/>
      <c r="N73" s="1000"/>
      <c r="O73" s="1000"/>
    </row>
    <row r="74" spans="4:15">
      <c r="D74" s="1000"/>
      <c r="E74" s="1000"/>
      <c r="F74" s="1000"/>
      <c r="G74" s="1000"/>
      <c r="H74" s="1000"/>
      <c r="I74" s="1000"/>
      <c r="J74" s="1000"/>
      <c r="K74" s="1000"/>
      <c r="L74" s="1000"/>
      <c r="M74" s="1000"/>
      <c r="N74" s="1000"/>
      <c r="O74" s="1000"/>
    </row>
    <row r="75" spans="4:15">
      <c r="D75" s="1000"/>
      <c r="E75" s="1000"/>
      <c r="F75" s="1000"/>
      <c r="G75" s="1000"/>
      <c r="H75" s="1000"/>
      <c r="I75" s="1000"/>
      <c r="J75" s="1000"/>
      <c r="K75" s="1000"/>
      <c r="L75" s="1000"/>
      <c r="M75" s="1000"/>
      <c r="N75" s="1000"/>
      <c r="O75" s="1000"/>
    </row>
    <row r="76" spans="4:15">
      <c r="D76" s="1000"/>
      <c r="E76" s="1000"/>
      <c r="F76" s="1000"/>
      <c r="G76" s="1000"/>
      <c r="H76" s="1000"/>
      <c r="I76" s="1000"/>
      <c r="J76" s="1000"/>
      <c r="K76" s="1000"/>
      <c r="L76" s="1000"/>
      <c r="M76" s="1000"/>
      <c r="N76" s="1000"/>
      <c r="O76" s="1000"/>
    </row>
    <row r="77" spans="4:15">
      <c r="D77" s="1000"/>
      <c r="E77" s="1000"/>
      <c r="F77" s="1000"/>
      <c r="G77" s="1000"/>
      <c r="H77" s="1000"/>
      <c r="I77" s="1000"/>
      <c r="J77" s="1000"/>
      <c r="K77" s="1000"/>
      <c r="L77" s="1000"/>
      <c r="M77" s="1000"/>
      <c r="N77" s="1000"/>
      <c r="O77" s="1000"/>
    </row>
    <row r="78" spans="4:15">
      <c r="D78" s="1000"/>
      <c r="E78" s="1000"/>
      <c r="F78" s="1000"/>
      <c r="G78" s="1000"/>
      <c r="H78" s="1000"/>
      <c r="I78" s="1000"/>
      <c r="J78" s="1000"/>
      <c r="K78" s="1000"/>
      <c r="L78" s="1000"/>
      <c r="M78" s="1000"/>
      <c r="N78" s="1000"/>
      <c r="O78" s="1000"/>
    </row>
    <row r="79" spans="4:15">
      <c r="D79" s="1000"/>
      <c r="E79" s="1000"/>
      <c r="F79" s="1000"/>
      <c r="G79" s="1000"/>
      <c r="H79" s="1000"/>
      <c r="I79" s="1000"/>
      <c r="J79" s="1000"/>
      <c r="K79" s="1000"/>
      <c r="L79" s="1000"/>
      <c r="M79" s="1000"/>
      <c r="N79" s="1000"/>
      <c r="O79" s="1000"/>
    </row>
    <row r="80" spans="4:15">
      <c r="D80" s="1000"/>
      <c r="E80" s="1000"/>
      <c r="F80" s="1000"/>
      <c r="G80" s="1000"/>
      <c r="H80" s="1000"/>
      <c r="I80" s="1000"/>
      <c r="J80" s="1000"/>
      <c r="K80" s="1000"/>
      <c r="L80" s="1000"/>
      <c r="M80" s="1000"/>
      <c r="N80" s="1000"/>
      <c r="O80" s="1000"/>
    </row>
    <row r="81" spans="4:15">
      <c r="D81" s="1000"/>
      <c r="E81" s="1000"/>
      <c r="F81" s="1000"/>
      <c r="G81" s="1000"/>
      <c r="H81" s="1000"/>
      <c r="I81" s="1000"/>
      <c r="J81" s="1000"/>
      <c r="K81" s="1000"/>
      <c r="L81" s="1000"/>
      <c r="M81" s="1000"/>
      <c r="N81" s="1000"/>
      <c r="O81" s="1000"/>
    </row>
    <row r="82" spans="4:15">
      <c r="D82" s="1000"/>
      <c r="E82" s="1000"/>
      <c r="F82" s="1000"/>
      <c r="G82" s="1000"/>
      <c r="H82" s="1000"/>
      <c r="I82" s="1000"/>
      <c r="J82" s="1000"/>
      <c r="K82" s="1000"/>
      <c r="L82" s="1000"/>
      <c r="M82" s="1000"/>
      <c r="N82" s="1000"/>
      <c r="O82" s="1000"/>
    </row>
    <row r="83" spans="4:15">
      <c r="D83" s="1000"/>
      <c r="E83" s="1000"/>
      <c r="F83" s="1000"/>
      <c r="G83" s="1000"/>
      <c r="H83" s="1000"/>
      <c r="I83" s="1000"/>
      <c r="J83" s="1000"/>
      <c r="K83" s="1000"/>
      <c r="L83" s="1000"/>
      <c r="M83" s="1000"/>
      <c r="N83" s="1000"/>
      <c r="O83" s="1000"/>
    </row>
    <row r="84" spans="4:15">
      <c r="D84" s="1000"/>
      <c r="E84" s="1000"/>
      <c r="F84" s="1000"/>
      <c r="G84" s="1000"/>
      <c r="H84" s="1000"/>
      <c r="I84" s="1000"/>
      <c r="J84" s="1000"/>
      <c r="K84" s="1000"/>
      <c r="L84" s="1000"/>
      <c r="M84" s="1000"/>
      <c r="N84" s="1000"/>
      <c r="O84" s="1000"/>
    </row>
    <row r="85" spans="4:15">
      <c r="D85" s="1000"/>
      <c r="E85" s="1000"/>
      <c r="F85" s="1000"/>
      <c r="G85" s="1000"/>
      <c r="H85" s="1000"/>
      <c r="I85" s="1000"/>
      <c r="J85" s="1000"/>
      <c r="K85" s="1000"/>
      <c r="L85" s="1000"/>
      <c r="M85" s="1000"/>
      <c r="N85" s="1000"/>
      <c r="O85" s="1000"/>
    </row>
    <row r="86" spans="4:15">
      <c r="D86" s="1000"/>
      <c r="E86" s="1000"/>
      <c r="F86" s="1000"/>
      <c r="G86" s="1000"/>
      <c r="H86" s="1000"/>
      <c r="I86" s="1000"/>
      <c r="J86" s="1000"/>
      <c r="K86" s="1000"/>
      <c r="L86" s="1000"/>
      <c r="M86" s="1000"/>
      <c r="N86" s="1000"/>
      <c r="O86" s="1000"/>
    </row>
    <row r="87" spans="4:15">
      <c r="D87" s="1000"/>
      <c r="E87" s="1000"/>
      <c r="F87" s="1000"/>
      <c r="G87" s="1000"/>
      <c r="H87" s="1000"/>
      <c r="I87" s="1000"/>
      <c r="J87" s="1000"/>
      <c r="K87" s="1000"/>
      <c r="L87" s="1000"/>
      <c r="M87" s="1000"/>
      <c r="N87" s="1000"/>
      <c r="O87" s="1000"/>
    </row>
    <row r="88" spans="4:15">
      <c r="D88" s="1000"/>
      <c r="E88" s="1000"/>
      <c r="F88" s="1000"/>
      <c r="G88" s="1000"/>
      <c r="H88" s="1000"/>
      <c r="I88" s="1000"/>
      <c r="J88" s="1000"/>
      <c r="K88" s="1000"/>
      <c r="L88" s="1000"/>
      <c r="M88" s="1000"/>
      <c r="N88" s="1000"/>
      <c r="O88" s="1000"/>
    </row>
    <row r="89" spans="4:15">
      <c r="D89" s="1000"/>
      <c r="E89" s="1000"/>
      <c r="F89" s="1000"/>
      <c r="G89" s="1000"/>
      <c r="H89" s="1000"/>
      <c r="I89" s="1000"/>
      <c r="J89" s="1000"/>
      <c r="K89" s="1000"/>
      <c r="L89" s="1000"/>
      <c r="M89" s="1000"/>
      <c r="N89" s="1000"/>
      <c r="O89" s="1000"/>
    </row>
    <row r="90" spans="4:15">
      <c r="D90" s="1000"/>
      <c r="E90" s="1000"/>
      <c r="F90" s="1000"/>
      <c r="G90" s="1000"/>
      <c r="H90" s="1000"/>
      <c r="I90" s="1000"/>
      <c r="J90" s="1000"/>
      <c r="K90" s="1000"/>
      <c r="L90" s="1000"/>
      <c r="M90" s="1000"/>
      <c r="N90" s="1000"/>
      <c r="O90" s="1000"/>
    </row>
    <row r="91" spans="4:15">
      <c r="D91" s="1000"/>
      <c r="E91" s="1000"/>
      <c r="F91" s="1000"/>
      <c r="G91" s="1000"/>
      <c r="H91" s="1000"/>
      <c r="I91" s="1000"/>
      <c r="J91" s="1000"/>
      <c r="K91" s="1000"/>
      <c r="L91" s="1000"/>
      <c r="M91" s="1000"/>
      <c r="N91" s="1000"/>
      <c r="O91" s="1000"/>
    </row>
    <row r="92" spans="4:15">
      <c r="D92" s="1000"/>
      <c r="E92" s="1000"/>
      <c r="F92" s="1000"/>
      <c r="G92" s="1000"/>
      <c r="H92" s="1000"/>
      <c r="I92" s="1000"/>
      <c r="J92" s="1000"/>
      <c r="K92" s="1000"/>
      <c r="L92" s="1000"/>
      <c r="M92" s="1000"/>
      <c r="N92" s="1000"/>
      <c r="O92" s="1000"/>
    </row>
    <row r="93" spans="4:15">
      <c r="D93" s="1000"/>
      <c r="E93" s="1000"/>
      <c r="F93" s="1000"/>
      <c r="G93" s="1000"/>
      <c r="H93" s="1000"/>
      <c r="I93" s="1000"/>
      <c r="J93" s="1000"/>
      <c r="K93" s="1000"/>
      <c r="L93" s="1000"/>
      <c r="M93" s="1000"/>
      <c r="N93" s="1000"/>
      <c r="O93" s="1000"/>
    </row>
    <row r="94" spans="4:15">
      <c r="D94" s="1000"/>
      <c r="E94" s="1000"/>
      <c r="F94" s="1000"/>
      <c r="G94" s="1000"/>
      <c r="H94" s="1000"/>
      <c r="I94" s="1000"/>
      <c r="J94" s="1000"/>
      <c r="K94" s="1000"/>
      <c r="L94" s="1000"/>
      <c r="M94" s="1000"/>
      <c r="N94" s="1000"/>
      <c r="O94" s="1000"/>
    </row>
    <row r="95" spans="4:15">
      <c r="D95" s="1000"/>
      <c r="E95" s="1000"/>
      <c r="F95" s="1000"/>
      <c r="G95" s="1000"/>
      <c r="H95" s="1000"/>
      <c r="I95" s="1000"/>
      <c r="J95" s="1000"/>
      <c r="K95" s="1000"/>
      <c r="L95" s="1000"/>
      <c r="M95" s="1000"/>
      <c r="N95" s="1000"/>
      <c r="O95" s="1000"/>
    </row>
    <row r="96" spans="4:15">
      <c r="D96" s="1000"/>
      <c r="E96" s="1000"/>
      <c r="F96" s="1000"/>
      <c r="G96" s="1000"/>
      <c r="H96" s="1000"/>
      <c r="I96" s="1000"/>
      <c r="J96" s="1000"/>
      <c r="K96" s="1000"/>
      <c r="L96" s="1000"/>
      <c r="M96" s="1000"/>
      <c r="N96" s="1000"/>
      <c r="O96" s="1000"/>
    </row>
    <row r="97" spans="4:15">
      <c r="D97" s="1000"/>
      <c r="E97" s="1000"/>
      <c r="F97" s="1000"/>
      <c r="G97" s="1000"/>
      <c r="H97" s="1000"/>
      <c r="I97" s="1000"/>
      <c r="J97" s="1000"/>
      <c r="K97" s="1000"/>
      <c r="L97" s="1000"/>
      <c r="M97" s="1000"/>
      <c r="N97" s="1000"/>
      <c r="O97" s="1000"/>
    </row>
    <row r="98" spans="4:15">
      <c r="D98" s="1000"/>
      <c r="E98" s="1000"/>
      <c r="F98" s="1000"/>
      <c r="G98" s="1000"/>
      <c r="H98" s="1000"/>
      <c r="I98" s="1000"/>
      <c r="J98" s="1000"/>
      <c r="K98" s="1000"/>
      <c r="L98" s="1000"/>
      <c r="M98" s="1000"/>
      <c r="N98" s="1000"/>
      <c r="O98" s="1000"/>
    </row>
    <row r="99" spans="4:15">
      <c r="D99" s="1000"/>
      <c r="E99" s="1000"/>
      <c r="F99" s="1000"/>
      <c r="G99" s="1000"/>
      <c r="H99" s="1000"/>
      <c r="I99" s="1000"/>
      <c r="J99" s="1000"/>
      <c r="K99" s="1000"/>
      <c r="L99" s="1000"/>
      <c r="M99" s="1000"/>
      <c r="N99" s="1000"/>
      <c r="O99" s="1000"/>
    </row>
    <row r="100" spans="4:15">
      <c r="D100" s="1000"/>
      <c r="E100" s="1000"/>
      <c r="F100" s="1000"/>
      <c r="G100" s="1000"/>
      <c r="H100" s="1000"/>
      <c r="I100" s="1000"/>
      <c r="J100" s="1000"/>
      <c r="K100" s="1000"/>
      <c r="L100" s="1000"/>
      <c r="M100" s="1000"/>
      <c r="N100" s="1000"/>
      <c r="O100" s="1000"/>
    </row>
    <row r="101" spans="4:15">
      <c r="D101" s="1000"/>
      <c r="E101" s="1000"/>
      <c r="F101" s="1000"/>
      <c r="G101" s="1000"/>
      <c r="H101" s="1000"/>
      <c r="I101" s="1000"/>
      <c r="J101" s="1000"/>
      <c r="K101" s="1000"/>
      <c r="L101" s="1000"/>
      <c r="M101" s="1000"/>
      <c r="N101" s="1000"/>
      <c r="O101" s="1000"/>
    </row>
    <row r="102" spans="4:15">
      <c r="D102" s="1000"/>
      <c r="E102" s="1000"/>
      <c r="F102" s="1000"/>
      <c r="G102" s="1000"/>
      <c r="H102" s="1000"/>
      <c r="I102" s="1000"/>
      <c r="J102" s="1000"/>
      <c r="K102" s="1000"/>
      <c r="L102" s="1000"/>
      <c r="M102" s="1000"/>
      <c r="N102" s="1000"/>
      <c r="O102" s="1000"/>
    </row>
    <row r="103" spans="4:15">
      <c r="D103" s="1000"/>
      <c r="E103" s="1000"/>
      <c r="F103" s="1000"/>
      <c r="G103" s="1000"/>
      <c r="H103" s="1000"/>
      <c r="I103" s="1000"/>
      <c r="J103" s="1000"/>
      <c r="K103" s="1000"/>
      <c r="L103" s="1000"/>
      <c r="M103" s="1000"/>
      <c r="N103" s="1000"/>
      <c r="O103" s="1000"/>
    </row>
    <row r="104" spans="4:15">
      <c r="D104" s="1000"/>
      <c r="E104" s="1000"/>
      <c r="F104" s="1000"/>
      <c r="G104" s="1000"/>
      <c r="H104" s="1000"/>
      <c r="I104" s="1000"/>
      <c r="J104" s="1000"/>
      <c r="K104" s="1000"/>
      <c r="L104" s="1000"/>
      <c r="M104" s="1000"/>
      <c r="N104" s="1000"/>
      <c r="O104" s="1000"/>
    </row>
    <row r="105" spans="4:15">
      <c r="D105" s="1000"/>
      <c r="E105" s="1000"/>
      <c r="F105" s="1000"/>
      <c r="G105" s="1000"/>
      <c r="H105" s="1000"/>
      <c r="I105" s="1000"/>
      <c r="J105" s="1000"/>
      <c r="K105" s="1000"/>
      <c r="L105" s="1000"/>
      <c r="M105" s="1000"/>
      <c r="N105" s="1000"/>
      <c r="O105" s="1000"/>
    </row>
    <row r="106" spans="4:15">
      <c r="D106" s="1000"/>
      <c r="E106" s="1000"/>
      <c r="F106" s="1000"/>
      <c r="G106" s="1000"/>
      <c r="H106" s="1000"/>
      <c r="I106" s="1000"/>
      <c r="J106" s="1000"/>
      <c r="K106" s="1000"/>
      <c r="L106" s="1000"/>
      <c r="M106" s="1000"/>
      <c r="N106" s="1000"/>
      <c r="O106" s="1000"/>
    </row>
    <row r="107" spans="4:15">
      <c r="D107" s="1000"/>
      <c r="E107" s="1000"/>
      <c r="F107" s="1000"/>
      <c r="G107" s="1000"/>
      <c r="H107" s="1000"/>
      <c r="I107" s="1000"/>
      <c r="J107" s="1000"/>
      <c r="K107" s="1000"/>
      <c r="L107" s="1000"/>
      <c r="M107" s="1000"/>
      <c r="N107" s="1000"/>
      <c r="O107" s="1000"/>
    </row>
    <row r="108" spans="4:15">
      <c r="D108" s="1000"/>
      <c r="E108" s="1000"/>
      <c r="F108" s="1000"/>
      <c r="G108" s="1000"/>
      <c r="H108" s="1000"/>
      <c r="I108" s="1000"/>
      <c r="J108" s="1000"/>
      <c r="K108" s="1000"/>
      <c r="L108" s="1000"/>
      <c r="M108" s="1000"/>
      <c r="N108" s="1000"/>
      <c r="O108" s="1000"/>
    </row>
    <row r="109" spans="4:15">
      <c r="D109" s="1000"/>
      <c r="E109" s="1000"/>
      <c r="F109" s="1000"/>
      <c r="G109" s="1000"/>
      <c r="H109" s="1000"/>
      <c r="I109" s="1000"/>
      <c r="J109" s="1000"/>
      <c r="K109" s="1000"/>
      <c r="L109" s="1000"/>
      <c r="M109" s="1000"/>
      <c r="N109" s="1000"/>
      <c r="O109" s="1000"/>
    </row>
    <row r="110" spans="4:15">
      <c r="D110" s="1000"/>
      <c r="E110" s="1000"/>
      <c r="F110" s="1000"/>
      <c r="G110" s="1000"/>
      <c r="H110" s="1000"/>
      <c r="I110" s="1000"/>
      <c r="J110" s="1000"/>
      <c r="K110" s="1000"/>
      <c r="L110" s="1000"/>
      <c r="M110" s="1000"/>
      <c r="N110" s="1000"/>
      <c r="O110" s="1000"/>
    </row>
    <row r="111" spans="4:15">
      <c r="D111" s="1000"/>
      <c r="E111" s="1000"/>
      <c r="F111" s="1000"/>
      <c r="G111" s="1000"/>
      <c r="H111" s="1000"/>
      <c r="I111" s="1000"/>
      <c r="J111" s="1000"/>
      <c r="K111" s="1000"/>
      <c r="L111" s="1000"/>
      <c r="M111" s="1000"/>
      <c r="N111" s="1000"/>
      <c r="O111" s="1000"/>
    </row>
    <row r="112" spans="4:15">
      <c r="D112" s="1000"/>
      <c r="E112" s="1000"/>
      <c r="F112" s="1000"/>
      <c r="G112" s="1000"/>
      <c r="H112" s="1000"/>
      <c r="I112" s="1000"/>
      <c r="J112" s="1000"/>
      <c r="K112" s="1000"/>
      <c r="L112" s="1000"/>
      <c r="M112" s="1000"/>
      <c r="N112" s="1000"/>
      <c r="O112" s="1000"/>
    </row>
    <row r="113" spans="4:15">
      <c r="D113" s="1000"/>
      <c r="E113" s="1000"/>
      <c r="F113" s="1000"/>
      <c r="G113" s="1000"/>
      <c r="H113" s="1000"/>
      <c r="I113" s="1000"/>
      <c r="J113" s="1000"/>
      <c r="K113" s="1000"/>
      <c r="L113" s="1000"/>
      <c r="M113" s="1000"/>
      <c r="N113" s="1000"/>
      <c r="O113" s="1000"/>
    </row>
    <row r="114" spans="4:15">
      <c r="D114" s="1000"/>
      <c r="E114" s="1000"/>
      <c r="F114" s="1000"/>
      <c r="G114" s="1000"/>
      <c r="H114" s="1000"/>
      <c r="I114" s="1000"/>
      <c r="J114" s="1000"/>
      <c r="K114" s="1000"/>
      <c r="L114" s="1000"/>
      <c r="M114" s="1000"/>
      <c r="N114" s="1000"/>
      <c r="O114" s="1000"/>
    </row>
    <row r="115" spans="4:15">
      <c r="D115" s="1000"/>
      <c r="E115" s="1000"/>
      <c r="F115" s="1000"/>
      <c r="G115" s="1000"/>
      <c r="H115" s="1000"/>
      <c r="I115" s="1000"/>
      <c r="J115" s="1000"/>
      <c r="K115" s="1000"/>
      <c r="L115" s="1000"/>
      <c r="M115" s="1000"/>
      <c r="N115" s="1000"/>
      <c r="O115" s="1000"/>
    </row>
    <row r="116" spans="4:15">
      <c r="D116" s="1000"/>
      <c r="E116" s="1000"/>
      <c r="F116" s="1000"/>
      <c r="G116" s="1000"/>
      <c r="H116" s="1000"/>
      <c r="I116" s="1000"/>
      <c r="J116" s="1000"/>
      <c r="K116" s="1000"/>
      <c r="L116" s="1000"/>
      <c r="M116" s="1000"/>
      <c r="N116" s="1000"/>
      <c r="O116" s="1000"/>
    </row>
    <row r="117" spans="4:15">
      <c r="D117" s="1000"/>
      <c r="E117" s="1000"/>
      <c r="F117" s="1000"/>
      <c r="G117" s="1000"/>
      <c r="H117" s="1000"/>
      <c r="I117" s="1000"/>
      <c r="J117" s="1000"/>
      <c r="K117" s="1000"/>
      <c r="L117" s="1000"/>
      <c r="M117" s="1000"/>
      <c r="N117" s="1000"/>
      <c r="O117" s="1000"/>
    </row>
    <row r="118" spans="4:15">
      <c r="D118" s="1000"/>
      <c r="E118" s="1000"/>
      <c r="F118" s="1000"/>
      <c r="G118" s="1000"/>
      <c r="H118" s="1000"/>
      <c r="I118" s="1000"/>
      <c r="J118" s="1000"/>
      <c r="K118" s="1000"/>
      <c r="L118" s="1000"/>
      <c r="M118" s="1000"/>
      <c r="N118" s="1000"/>
      <c r="O118" s="1000"/>
    </row>
    <row r="119" spans="4:15">
      <c r="D119" s="1000"/>
      <c r="E119" s="1000"/>
      <c r="F119" s="1000"/>
      <c r="G119" s="1000"/>
      <c r="H119" s="1000"/>
      <c r="I119" s="1000"/>
      <c r="J119" s="1000"/>
      <c r="K119" s="1000"/>
      <c r="L119" s="1000"/>
      <c r="M119" s="1000"/>
      <c r="N119" s="1000"/>
      <c r="O119" s="1000"/>
    </row>
    <row r="120" spans="4:15">
      <c r="D120" s="1000"/>
      <c r="E120" s="1000"/>
      <c r="F120" s="1000"/>
      <c r="G120" s="1000"/>
      <c r="H120" s="1000"/>
      <c r="I120" s="1000"/>
      <c r="J120" s="1000"/>
      <c r="K120" s="1000"/>
      <c r="L120" s="1000"/>
      <c r="M120" s="1000"/>
      <c r="N120" s="1000"/>
      <c r="O120" s="1000"/>
    </row>
    <row r="121" spans="4:15">
      <c r="D121" s="1000"/>
      <c r="E121" s="1000"/>
      <c r="F121" s="1000"/>
      <c r="G121" s="1000"/>
      <c r="H121" s="1000"/>
      <c r="I121" s="1000"/>
      <c r="J121" s="1000"/>
      <c r="K121" s="1000"/>
      <c r="L121" s="1000"/>
      <c r="M121" s="1000"/>
      <c r="N121" s="1000"/>
      <c r="O121" s="1000"/>
    </row>
    <row r="122" spans="4:15">
      <c r="D122" s="1000"/>
      <c r="E122" s="1000"/>
      <c r="F122" s="1000"/>
      <c r="G122" s="1000"/>
      <c r="H122" s="1000"/>
      <c r="I122" s="1000"/>
      <c r="J122" s="1000"/>
      <c r="K122" s="1000"/>
      <c r="L122" s="1000"/>
      <c r="M122" s="1000"/>
      <c r="N122" s="1000"/>
      <c r="O122" s="1000"/>
    </row>
    <row r="123" spans="4:15">
      <c r="D123" s="1000"/>
      <c r="E123" s="1000"/>
      <c r="F123" s="1000"/>
      <c r="G123" s="1000"/>
      <c r="H123" s="1000"/>
      <c r="I123" s="1000"/>
      <c r="J123" s="1000"/>
      <c r="K123" s="1000"/>
      <c r="L123" s="1000"/>
      <c r="M123" s="1000"/>
      <c r="N123" s="1000"/>
      <c r="O123" s="1000"/>
    </row>
    <row r="124" spans="4:15">
      <c r="D124" s="1000"/>
      <c r="E124" s="1000"/>
      <c r="F124" s="1000"/>
      <c r="G124" s="1000"/>
      <c r="H124" s="1000"/>
      <c r="I124" s="1000"/>
      <c r="J124" s="1000"/>
      <c r="K124" s="1000"/>
      <c r="L124" s="1000"/>
      <c r="M124" s="1000"/>
      <c r="N124" s="1000"/>
      <c r="O124" s="1000"/>
    </row>
    <row r="125" spans="4:15">
      <c r="D125" s="1000"/>
      <c r="E125" s="1000"/>
      <c r="F125" s="1000"/>
      <c r="G125" s="1000"/>
      <c r="H125" s="1000"/>
      <c r="I125" s="1000"/>
      <c r="J125" s="1000"/>
      <c r="K125" s="1000"/>
      <c r="L125" s="1000"/>
      <c r="M125" s="1000"/>
      <c r="N125" s="1000"/>
      <c r="O125" s="1000"/>
    </row>
    <row r="126" spans="4:15">
      <c r="D126" s="1000"/>
      <c r="E126" s="1000"/>
      <c r="F126" s="1000"/>
      <c r="G126" s="1000"/>
      <c r="H126" s="1000"/>
      <c r="I126" s="1000"/>
      <c r="J126" s="1000"/>
      <c r="K126" s="1000"/>
      <c r="L126" s="1000"/>
      <c r="M126" s="1000"/>
      <c r="N126" s="1000"/>
      <c r="O126" s="1000"/>
    </row>
    <row r="127" spans="4:15">
      <c r="D127" s="1000"/>
      <c r="E127" s="1000"/>
      <c r="F127" s="1000"/>
      <c r="G127" s="1000"/>
      <c r="H127" s="1000"/>
      <c r="I127" s="1000"/>
      <c r="J127" s="1000"/>
      <c r="K127" s="1000"/>
      <c r="L127" s="1000"/>
      <c r="M127" s="1000"/>
      <c r="N127" s="1000"/>
      <c r="O127" s="1000"/>
    </row>
    <row r="128" spans="4:15">
      <c r="D128" s="1000"/>
      <c r="E128" s="1000"/>
      <c r="F128" s="1000"/>
      <c r="G128" s="1000"/>
      <c r="H128" s="1000"/>
      <c r="I128" s="1000"/>
      <c r="J128" s="1000"/>
      <c r="K128" s="1000"/>
      <c r="L128" s="1000"/>
      <c r="M128" s="1000"/>
      <c r="N128" s="1000"/>
      <c r="O128" s="1000"/>
    </row>
    <row r="129" spans="4:15">
      <c r="D129" s="1000"/>
      <c r="E129" s="1000"/>
      <c r="F129" s="1000"/>
      <c r="G129" s="1000"/>
      <c r="H129" s="1000"/>
      <c r="I129" s="1000"/>
      <c r="J129" s="1000"/>
      <c r="K129" s="1000"/>
      <c r="L129" s="1000"/>
      <c r="M129" s="1000"/>
      <c r="N129" s="1000"/>
      <c r="O129" s="1000"/>
    </row>
    <row r="130" spans="4:15">
      <c r="D130" s="1000"/>
      <c r="E130" s="1000"/>
      <c r="F130" s="1000"/>
      <c r="G130" s="1000"/>
      <c r="H130" s="1000"/>
      <c r="I130" s="1000"/>
      <c r="J130" s="1000"/>
      <c r="K130" s="1000"/>
      <c r="L130" s="1000"/>
      <c r="M130" s="1000"/>
      <c r="N130" s="1000"/>
      <c r="O130" s="1000"/>
    </row>
    <row r="131" spans="4:15">
      <c r="D131" s="1000"/>
      <c r="E131" s="1000"/>
      <c r="F131" s="1000"/>
      <c r="G131" s="1000"/>
      <c r="H131" s="1000"/>
      <c r="I131" s="1000"/>
      <c r="J131" s="1000"/>
      <c r="K131" s="1000"/>
      <c r="L131" s="1000"/>
      <c r="M131" s="1000"/>
      <c r="N131" s="1000"/>
      <c r="O131" s="1000"/>
    </row>
    <row r="132" spans="4:15">
      <c r="D132" s="1000"/>
      <c r="E132" s="1000"/>
      <c r="F132" s="1000"/>
      <c r="G132" s="1000"/>
      <c r="H132" s="1000"/>
      <c r="I132" s="1000"/>
      <c r="J132" s="1000"/>
      <c r="K132" s="1000"/>
      <c r="L132" s="1000"/>
      <c r="M132" s="1000"/>
      <c r="N132" s="1000"/>
      <c r="O132" s="1000"/>
    </row>
    <row r="133" spans="4:15">
      <c r="D133" s="1000"/>
      <c r="E133" s="1000"/>
      <c r="F133" s="1000"/>
      <c r="G133" s="1000"/>
      <c r="H133" s="1000"/>
      <c r="I133" s="1000"/>
      <c r="J133" s="1000"/>
      <c r="K133" s="1000"/>
      <c r="L133" s="1000"/>
      <c r="M133" s="1000"/>
      <c r="N133" s="1000"/>
      <c r="O133" s="1000"/>
    </row>
    <row r="134" spans="4:15">
      <c r="D134" s="1000"/>
      <c r="E134" s="1000"/>
      <c r="F134" s="1000"/>
      <c r="G134" s="1000"/>
      <c r="H134" s="1000"/>
      <c r="I134" s="1000"/>
      <c r="J134" s="1000"/>
      <c r="K134" s="1000"/>
      <c r="L134" s="1000"/>
      <c r="M134" s="1000"/>
      <c r="N134" s="1000"/>
      <c r="O134" s="1000"/>
    </row>
    <row r="135" spans="4:15">
      <c r="D135" s="1000"/>
      <c r="E135" s="1000"/>
      <c r="F135" s="1000"/>
      <c r="G135" s="1000"/>
      <c r="H135" s="1000"/>
      <c r="I135" s="1000"/>
      <c r="J135" s="1000"/>
      <c r="K135" s="1000"/>
      <c r="L135" s="1000"/>
      <c r="M135" s="1000"/>
      <c r="N135" s="1000"/>
      <c r="O135" s="1000"/>
    </row>
    <row r="136" spans="4:15">
      <c r="D136" s="1000"/>
      <c r="E136" s="1000"/>
      <c r="F136" s="1000"/>
      <c r="G136" s="1000"/>
      <c r="H136" s="1000"/>
      <c r="I136" s="1000"/>
      <c r="J136" s="1000"/>
      <c r="K136" s="1000"/>
      <c r="L136" s="1000"/>
      <c r="M136" s="1000"/>
      <c r="N136" s="1000"/>
      <c r="O136" s="1000"/>
    </row>
    <row r="137" spans="4:15">
      <c r="D137" s="1000"/>
      <c r="E137" s="1000"/>
      <c r="F137" s="1000"/>
      <c r="G137" s="1000"/>
      <c r="H137" s="1000"/>
      <c r="I137" s="1000"/>
      <c r="J137" s="1000"/>
      <c r="K137" s="1000"/>
      <c r="L137" s="1000"/>
      <c r="M137" s="1000"/>
      <c r="N137" s="1000"/>
      <c r="O137" s="1000"/>
    </row>
    <row r="138" spans="4:15">
      <c r="D138" s="1000"/>
      <c r="E138" s="1000"/>
      <c r="F138" s="1000"/>
      <c r="G138" s="1000"/>
      <c r="H138" s="1000"/>
      <c r="I138" s="1000"/>
      <c r="J138" s="1000"/>
      <c r="K138" s="1000"/>
      <c r="L138" s="1000"/>
      <c r="M138" s="1000"/>
      <c r="N138" s="1000"/>
      <c r="O138" s="1000"/>
    </row>
    <row r="139" spans="4:15">
      <c r="D139" s="1000"/>
      <c r="E139" s="1000"/>
      <c r="F139" s="1000"/>
      <c r="G139" s="1000"/>
      <c r="H139" s="1000"/>
      <c r="I139" s="1000"/>
      <c r="J139" s="1000"/>
      <c r="K139" s="1000"/>
      <c r="L139" s="1000"/>
      <c r="M139" s="1000"/>
      <c r="N139" s="1000"/>
      <c r="O139" s="1000"/>
    </row>
    <row r="140" spans="4:15">
      <c r="D140" s="1000"/>
      <c r="E140" s="1000"/>
      <c r="F140" s="1000"/>
      <c r="G140" s="1000"/>
      <c r="H140" s="1000"/>
      <c r="I140" s="1000"/>
      <c r="J140" s="1000"/>
      <c r="K140" s="1000"/>
      <c r="L140" s="1000"/>
      <c r="M140" s="1000"/>
      <c r="N140" s="1000"/>
      <c r="O140" s="1000"/>
    </row>
    <row r="141" spans="4:15">
      <c r="D141" s="1000"/>
      <c r="E141" s="1000"/>
      <c r="F141" s="1000"/>
      <c r="G141" s="1000"/>
      <c r="H141" s="1000"/>
      <c r="I141" s="1000"/>
      <c r="J141" s="1000"/>
      <c r="K141" s="1000"/>
      <c r="L141" s="1000"/>
      <c r="M141" s="1000"/>
      <c r="N141" s="1000"/>
      <c r="O141" s="1000"/>
    </row>
    <row r="142" spans="4:15">
      <c r="D142" s="1000"/>
      <c r="E142" s="1000"/>
      <c r="F142" s="1000"/>
      <c r="G142" s="1000"/>
      <c r="H142" s="1000"/>
      <c r="I142" s="1000"/>
      <c r="J142" s="1000"/>
      <c r="K142" s="1000"/>
      <c r="L142" s="1000"/>
      <c r="M142" s="1000"/>
      <c r="N142" s="1000"/>
      <c r="O142" s="1000"/>
    </row>
    <row r="143" spans="4:15">
      <c r="D143" s="1000"/>
      <c r="E143" s="1000"/>
      <c r="F143" s="1000"/>
      <c r="G143" s="1000"/>
      <c r="H143" s="1000"/>
      <c r="I143" s="1000"/>
      <c r="J143" s="1000"/>
      <c r="K143" s="1000"/>
      <c r="L143" s="1000"/>
      <c r="M143" s="1000"/>
      <c r="N143" s="1000"/>
      <c r="O143" s="1000"/>
    </row>
    <row r="144" spans="4:15">
      <c r="D144" s="1000"/>
      <c r="E144" s="1000"/>
      <c r="F144" s="1000"/>
      <c r="G144" s="1000"/>
      <c r="H144" s="1000"/>
      <c r="I144" s="1000"/>
      <c r="J144" s="1000"/>
      <c r="K144" s="1000"/>
      <c r="L144" s="1000"/>
      <c r="M144" s="1000"/>
      <c r="N144" s="1000"/>
      <c r="O144" s="1000"/>
    </row>
    <row r="145" spans="4:15">
      <c r="D145" s="1000"/>
      <c r="E145" s="1000"/>
      <c r="F145" s="1000"/>
      <c r="G145" s="1000"/>
      <c r="H145" s="1000"/>
      <c r="I145" s="1000"/>
      <c r="J145" s="1000"/>
      <c r="K145" s="1000"/>
      <c r="L145" s="1000"/>
      <c r="M145" s="1000"/>
      <c r="N145" s="1000"/>
      <c r="O145" s="1000"/>
    </row>
    <row r="146" spans="4:15">
      <c r="D146" s="1000"/>
      <c r="E146" s="1000"/>
      <c r="F146" s="1000"/>
      <c r="G146" s="1000"/>
      <c r="H146" s="1000"/>
      <c r="I146" s="1000"/>
      <c r="J146" s="1000"/>
      <c r="K146" s="1000"/>
      <c r="L146" s="1000"/>
      <c r="M146" s="1000"/>
      <c r="N146" s="1000"/>
      <c r="O146" s="1000"/>
    </row>
    <row r="147" spans="4:15">
      <c r="D147" s="1000"/>
      <c r="E147" s="1000"/>
      <c r="F147" s="1000"/>
      <c r="G147" s="1000"/>
      <c r="H147" s="1000"/>
      <c r="I147" s="1000"/>
      <c r="J147" s="1000"/>
      <c r="K147" s="1000"/>
      <c r="L147" s="1000"/>
      <c r="M147" s="1000"/>
      <c r="N147" s="1000"/>
      <c r="O147" s="1000"/>
    </row>
    <row r="148" spans="4:15">
      <c r="D148" s="1000"/>
      <c r="E148" s="1000"/>
      <c r="F148" s="1000"/>
      <c r="G148" s="1000"/>
      <c r="H148" s="1000"/>
      <c r="I148" s="1000"/>
      <c r="J148" s="1000"/>
      <c r="K148" s="1000"/>
      <c r="L148" s="1000"/>
      <c r="M148" s="1000"/>
      <c r="N148" s="1000"/>
      <c r="O148" s="1000"/>
    </row>
    <row r="149" spans="4:15">
      <c r="D149" s="1000"/>
      <c r="E149" s="1000"/>
      <c r="F149" s="1000"/>
      <c r="G149" s="1000"/>
      <c r="H149" s="1000"/>
      <c r="I149" s="1000"/>
      <c r="J149" s="1000"/>
      <c r="K149" s="1000"/>
      <c r="L149" s="1000"/>
      <c r="M149" s="1000"/>
      <c r="N149" s="1000"/>
      <c r="O149" s="1000"/>
    </row>
    <row r="150" spans="4:15">
      <c r="D150" s="1000"/>
      <c r="E150" s="1000"/>
      <c r="F150" s="1000"/>
      <c r="G150" s="1000"/>
      <c r="H150" s="1000"/>
      <c r="I150" s="1000"/>
      <c r="J150" s="1000"/>
      <c r="K150" s="1000"/>
      <c r="L150" s="1000"/>
      <c r="M150" s="1000"/>
      <c r="N150" s="1000"/>
      <c r="O150" s="1000"/>
    </row>
    <row r="151" spans="4:15">
      <c r="D151" s="1000"/>
      <c r="E151" s="1000"/>
      <c r="F151" s="1000"/>
      <c r="G151" s="1000"/>
      <c r="H151" s="1000"/>
      <c r="I151" s="1000"/>
      <c r="J151" s="1000"/>
      <c r="K151" s="1000"/>
      <c r="L151" s="1000"/>
      <c r="M151" s="1000"/>
      <c r="N151" s="1000"/>
      <c r="O151" s="1000"/>
    </row>
    <row r="152" spans="4:15">
      <c r="D152" s="1000"/>
      <c r="E152" s="1000"/>
      <c r="F152" s="1000"/>
      <c r="G152" s="1000"/>
      <c r="H152" s="1000"/>
      <c r="I152" s="1000"/>
      <c r="J152" s="1000"/>
      <c r="K152" s="1000"/>
      <c r="L152" s="1000"/>
      <c r="M152" s="1000"/>
      <c r="N152" s="1000"/>
      <c r="O152" s="1000"/>
    </row>
    <row r="153" spans="4:15">
      <c r="D153" s="1000"/>
      <c r="E153" s="1000"/>
      <c r="F153" s="1000"/>
      <c r="G153" s="1000"/>
      <c r="H153" s="1000"/>
      <c r="I153" s="1000"/>
      <c r="J153" s="1000"/>
      <c r="K153" s="1000"/>
      <c r="L153" s="1000"/>
      <c r="M153" s="1000"/>
      <c r="N153" s="1000"/>
      <c r="O153" s="1000"/>
    </row>
    <row r="154" spans="4:15">
      <c r="D154" s="1000"/>
      <c r="E154" s="1000"/>
      <c r="F154" s="1000"/>
      <c r="G154" s="1000"/>
      <c r="H154" s="1000"/>
      <c r="I154" s="1000"/>
      <c r="J154" s="1000"/>
      <c r="K154" s="1000"/>
      <c r="L154" s="1000"/>
      <c r="M154" s="1000"/>
      <c r="N154" s="1000"/>
      <c r="O154" s="1000"/>
    </row>
    <row r="155" spans="4:15">
      <c r="D155" s="1000"/>
      <c r="E155" s="1000"/>
      <c r="F155" s="1000"/>
      <c r="G155" s="1000"/>
      <c r="H155" s="1000"/>
      <c r="I155" s="1000"/>
      <c r="J155" s="1000"/>
      <c r="K155" s="1000"/>
      <c r="L155" s="1000"/>
      <c r="M155" s="1000"/>
      <c r="N155" s="1000"/>
      <c r="O155" s="1000"/>
    </row>
    <row r="156" spans="4:15">
      <c r="D156" s="1000"/>
      <c r="E156" s="1000"/>
      <c r="F156" s="1000"/>
      <c r="G156" s="1000"/>
      <c r="H156" s="1000"/>
      <c r="I156" s="1000"/>
      <c r="J156" s="1000"/>
      <c r="K156" s="1000"/>
      <c r="L156" s="1000"/>
      <c r="M156" s="1000"/>
      <c r="N156" s="1000"/>
      <c r="O156" s="1000"/>
    </row>
    <row r="157" spans="4:15">
      <c r="D157" s="1000"/>
      <c r="E157" s="1000"/>
      <c r="F157" s="1000"/>
      <c r="G157" s="1000"/>
      <c r="H157" s="1000"/>
      <c r="I157" s="1000"/>
      <c r="J157" s="1000"/>
      <c r="K157" s="1000"/>
      <c r="L157" s="1000"/>
      <c r="M157" s="1000"/>
      <c r="N157" s="1000"/>
      <c r="O157" s="1000"/>
    </row>
    <row r="158" spans="4:15">
      <c r="D158" s="1000"/>
      <c r="E158" s="1000"/>
      <c r="F158" s="1000"/>
      <c r="G158" s="1000"/>
      <c r="H158" s="1000"/>
      <c r="I158" s="1000"/>
      <c r="J158" s="1000"/>
      <c r="K158" s="1000"/>
      <c r="L158" s="1000"/>
      <c r="M158" s="1000"/>
      <c r="N158" s="1000"/>
      <c r="O158" s="1000"/>
    </row>
    <row r="159" spans="4:15">
      <c r="D159" s="1000"/>
      <c r="E159" s="1000"/>
      <c r="F159" s="1000"/>
      <c r="G159" s="1000"/>
      <c r="H159" s="1000"/>
      <c r="I159" s="1000"/>
      <c r="J159" s="1000"/>
      <c r="K159" s="1000"/>
      <c r="L159" s="1000"/>
      <c r="M159" s="1000"/>
      <c r="N159" s="1000"/>
      <c r="O159" s="1000"/>
    </row>
    <row r="160" spans="4:15">
      <c r="D160" s="1000"/>
      <c r="E160" s="1000"/>
      <c r="F160" s="1000"/>
      <c r="G160" s="1000"/>
      <c r="H160" s="1000"/>
      <c r="I160" s="1000"/>
      <c r="J160" s="1000"/>
      <c r="K160" s="1000"/>
      <c r="L160" s="1000"/>
      <c r="M160" s="1000"/>
      <c r="N160" s="1000"/>
      <c r="O160" s="1000"/>
    </row>
    <row r="161" spans="4:15">
      <c r="D161" s="1000"/>
      <c r="E161" s="1000"/>
      <c r="F161" s="1000"/>
      <c r="G161" s="1000"/>
      <c r="H161" s="1000"/>
      <c r="I161" s="1000"/>
      <c r="J161" s="1000"/>
      <c r="K161" s="1000"/>
      <c r="L161" s="1000"/>
      <c r="M161" s="1000"/>
      <c r="N161" s="1000"/>
      <c r="O161" s="1000"/>
    </row>
    <row r="162" spans="4:15">
      <c r="D162" s="1000"/>
      <c r="E162" s="1000"/>
      <c r="F162" s="1000"/>
      <c r="G162" s="1000"/>
      <c r="H162" s="1000"/>
      <c r="I162" s="1000"/>
      <c r="J162" s="1000"/>
      <c r="K162" s="1000"/>
      <c r="L162" s="1000"/>
      <c r="M162" s="1000"/>
      <c r="N162" s="1000"/>
      <c r="O162" s="1000"/>
    </row>
    <row r="163" spans="4:15">
      <c r="D163" s="1000"/>
      <c r="E163" s="1000"/>
      <c r="F163" s="1000"/>
      <c r="G163" s="1000"/>
      <c r="H163" s="1000"/>
      <c r="I163" s="1000"/>
      <c r="J163" s="1000"/>
      <c r="K163" s="1000"/>
      <c r="L163" s="1000"/>
      <c r="M163" s="1000"/>
      <c r="N163" s="1000"/>
      <c r="O163" s="1000"/>
    </row>
    <row r="164" spans="4:15">
      <c r="D164" s="1000"/>
      <c r="E164" s="1000"/>
      <c r="F164" s="1000"/>
      <c r="G164" s="1000"/>
      <c r="H164" s="1000"/>
      <c r="I164" s="1000"/>
      <c r="J164" s="1000"/>
      <c r="K164" s="1000"/>
      <c r="L164" s="1000"/>
      <c r="M164" s="1000"/>
      <c r="N164" s="1000"/>
      <c r="O164" s="1000"/>
    </row>
    <row r="165" spans="4:15">
      <c r="D165" s="1000"/>
      <c r="E165" s="1000"/>
      <c r="F165" s="1000"/>
      <c r="G165" s="1000"/>
      <c r="H165" s="1000"/>
      <c r="I165" s="1000"/>
      <c r="J165" s="1000"/>
      <c r="K165" s="1000"/>
      <c r="L165" s="1000"/>
      <c r="M165" s="1000"/>
      <c r="N165" s="1000"/>
      <c r="O165" s="1000"/>
    </row>
    <row r="166" spans="4:15">
      <c r="D166" s="1000"/>
      <c r="E166" s="1000"/>
      <c r="F166" s="1000"/>
      <c r="G166" s="1000"/>
      <c r="H166" s="1000"/>
      <c r="I166" s="1000"/>
      <c r="J166" s="1000"/>
      <c r="K166" s="1000"/>
      <c r="L166" s="1000"/>
      <c r="M166" s="1000"/>
      <c r="N166" s="1000"/>
      <c r="O166" s="1000"/>
    </row>
    <row r="167" spans="4:15">
      <c r="D167" s="1000"/>
      <c r="E167" s="1000"/>
      <c r="F167" s="1000"/>
      <c r="G167" s="1000"/>
      <c r="H167" s="1000"/>
      <c r="I167" s="1000"/>
      <c r="J167" s="1000"/>
      <c r="K167" s="1000"/>
      <c r="L167" s="1000"/>
      <c r="M167" s="1000"/>
      <c r="N167" s="1000"/>
      <c r="O167" s="1000"/>
    </row>
    <row r="168" spans="4:15">
      <c r="D168" s="1000"/>
      <c r="E168" s="1000"/>
      <c r="F168" s="1000"/>
      <c r="G168" s="1000"/>
      <c r="H168" s="1000"/>
      <c r="I168" s="1000"/>
      <c r="J168" s="1000"/>
      <c r="K168" s="1000"/>
      <c r="L168" s="1000"/>
      <c r="M168" s="1000"/>
      <c r="N168" s="1000"/>
      <c r="O168" s="1000"/>
    </row>
    <row r="169" spans="4:15">
      <c r="D169" s="1000"/>
      <c r="E169" s="1000"/>
      <c r="F169" s="1000"/>
      <c r="G169" s="1000"/>
      <c r="H169" s="1000"/>
      <c r="I169" s="1000"/>
      <c r="J169" s="1000"/>
      <c r="K169" s="1000"/>
      <c r="L169" s="1000"/>
      <c r="M169" s="1000"/>
      <c r="N169" s="1000"/>
      <c r="O169" s="1000"/>
    </row>
    <row r="170" spans="4:15">
      <c r="D170" s="1000"/>
      <c r="E170" s="1000"/>
      <c r="F170" s="1000"/>
      <c r="G170" s="1000"/>
      <c r="H170" s="1000"/>
      <c r="I170" s="1000"/>
      <c r="J170" s="1000"/>
      <c r="K170" s="1000"/>
      <c r="L170" s="1000"/>
      <c r="M170" s="1000"/>
      <c r="N170" s="1000"/>
      <c r="O170" s="1000"/>
    </row>
    <row r="171" spans="4:15">
      <c r="D171" s="1000"/>
      <c r="E171" s="1000"/>
      <c r="F171" s="1000"/>
      <c r="G171" s="1000"/>
      <c r="H171" s="1000"/>
      <c r="I171" s="1000"/>
      <c r="J171" s="1000"/>
      <c r="K171" s="1000"/>
      <c r="L171" s="1000"/>
      <c r="M171" s="1000"/>
      <c r="N171" s="1000"/>
      <c r="O171" s="1000"/>
    </row>
    <row r="172" spans="4:15">
      <c r="D172" s="1000"/>
      <c r="E172" s="1000"/>
      <c r="F172" s="1000"/>
      <c r="G172" s="1000"/>
      <c r="H172" s="1000"/>
      <c r="I172" s="1000"/>
      <c r="J172" s="1000"/>
      <c r="K172" s="1000"/>
      <c r="L172" s="1000"/>
      <c r="M172" s="1000"/>
      <c r="N172" s="1000"/>
      <c r="O172" s="1000"/>
    </row>
    <row r="173" spans="4:15">
      <c r="D173" s="1000"/>
      <c r="E173" s="1000"/>
      <c r="F173" s="1000"/>
      <c r="G173" s="1000"/>
      <c r="H173" s="1000"/>
      <c r="I173" s="1000"/>
      <c r="J173" s="1000"/>
      <c r="K173" s="1000"/>
      <c r="L173" s="1000"/>
      <c r="M173" s="1000"/>
      <c r="N173" s="1000"/>
      <c r="O173" s="1000"/>
    </row>
    <row r="174" spans="4:15">
      <c r="D174" s="1000"/>
      <c r="E174" s="1000"/>
      <c r="F174" s="1000"/>
      <c r="G174" s="1000"/>
      <c r="H174" s="1000"/>
      <c r="I174" s="1000"/>
      <c r="J174" s="1000"/>
      <c r="K174" s="1000"/>
      <c r="L174" s="1000"/>
      <c r="M174" s="1000"/>
      <c r="N174" s="1000"/>
      <c r="O174" s="1000"/>
    </row>
    <row r="175" spans="4:15">
      <c r="D175" s="1000"/>
      <c r="E175" s="1000"/>
      <c r="F175" s="1000"/>
      <c r="G175" s="1000"/>
      <c r="H175" s="1000"/>
      <c r="I175" s="1000"/>
      <c r="J175" s="1000"/>
      <c r="K175" s="1000"/>
      <c r="L175" s="1000"/>
      <c r="M175" s="1000"/>
      <c r="N175" s="1000"/>
      <c r="O175" s="1000"/>
    </row>
    <row r="176" spans="4:15">
      <c r="D176" s="1000"/>
      <c r="E176" s="1000"/>
      <c r="F176" s="1000"/>
      <c r="G176" s="1000"/>
      <c r="H176" s="1000"/>
      <c r="I176" s="1000"/>
      <c r="J176" s="1000"/>
      <c r="K176" s="1000"/>
      <c r="L176" s="1000"/>
      <c r="M176" s="1000"/>
      <c r="N176" s="1000"/>
      <c r="O176" s="1000"/>
    </row>
    <row r="177" spans="4:15">
      <c r="D177" s="1000"/>
      <c r="E177" s="1000"/>
      <c r="F177" s="1000"/>
      <c r="G177" s="1000"/>
      <c r="H177" s="1000"/>
      <c r="I177" s="1000"/>
      <c r="J177" s="1000"/>
      <c r="K177" s="1000"/>
      <c r="L177" s="1000"/>
      <c r="M177" s="1000"/>
      <c r="N177" s="1000"/>
      <c r="O177" s="1000"/>
    </row>
    <row r="178" spans="4:15">
      <c r="D178" s="1000"/>
      <c r="E178" s="1000"/>
      <c r="F178" s="1000"/>
      <c r="G178" s="1000"/>
      <c r="H178" s="1000"/>
      <c r="I178" s="1000"/>
      <c r="J178" s="1000"/>
      <c r="K178" s="1000"/>
      <c r="L178" s="1000"/>
      <c r="M178" s="1000"/>
      <c r="N178" s="1000"/>
      <c r="O178" s="1000"/>
    </row>
    <row r="179" spans="4:15">
      <c r="D179" s="1000"/>
      <c r="E179" s="1000"/>
      <c r="F179" s="1000"/>
      <c r="G179" s="1000"/>
      <c r="H179" s="1000"/>
      <c r="I179" s="1000"/>
      <c r="J179" s="1000"/>
      <c r="K179" s="1000"/>
      <c r="L179" s="1000"/>
      <c r="M179" s="1000"/>
      <c r="N179" s="1000"/>
      <c r="O179" s="1000"/>
    </row>
    <row r="180" spans="4:15">
      <c r="D180" s="1000"/>
      <c r="E180" s="1000"/>
      <c r="F180" s="1000"/>
      <c r="G180" s="1000"/>
      <c r="H180" s="1000"/>
      <c r="I180" s="1000"/>
      <c r="J180" s="1000"/>
      <c r="K180" s="1000"/>
      <c r="L180" s="1000"/>
      <c r="M180" s="1000"/>
      <c r="N180" s="1000"/>
      <c r="O180" s="1000"/>
    </row>
    <row r="181" spans="4:15">
      <c r="D181" s="1000"/>
      <c r="E181" s="1000"/>
      <c r="F181" s="1000"/>
      <c r="G181" s="1000"/>
      <c r="H181" s="1000"/>
      <c r="I181" s="1000"/>
      <c r="J181" s="1000"/>
      <c r="K181" s="1000"/>
      <c r="L181" s="1000"/>
      <c r="M181" s="1000"/>
      <c r="N181" s="1000"/>
      <c r="O181" s="1000"/>
    </row>
    <row r="182" spans="4:15">
      <c r="D182" s="1000"/>
      <c r="E182" s="1000"/>
      <c r="F182" s="1000"/>
      <c r="G182" s="1000"/>
      <c r="H182" s="1000"/>
      <c r="I182" s="1000"/>
      <c r="J182" s="1000"/>
      <c r="K182" s="1000"/>
      <c r="L182" s="1000"/>
      <c r="M182" s="1000"/>
      <c r="N182" s="1000"/>
      <c r="O182" s="1000"/>
    </row>
    <row r="183" spans="4:15">
      <c r="D183" s="1000"/>
      <c r="E183" s="1000"/>
      <c r="F183" s="1000"/>
      <c r="G183" s="1000"/>
      <c r="H183" s="1000"/>
      <c r="I183" s="1000"/>
      <c r="J183" s="1000"/>
      <c r="K183" s="1000"/>
      <c r="L183" s="1000"/>
      <c r="M183" s="1000"/>
      <c r="N183" s="1000"/>
      <c r="O183" s="1000"/>
    </row>
    <row r="184" spans="4:15">
      <c r="D184" s="1000"/>
      <c r="E184" s="1000"/>
      <c r="F184" s="1000"/>
      <c r="G184" s="1000"/>
      <c r="H184" s="1000"/>
      <c r="I184" s="1000"/>
      <c r="J184" s="1000"/>
      <c r="K184" s="1000"/>
      <c r="L184" s="1000"/>
      <c r="M184" s="1000"/>
      <c r="N184" s="1000"/>
      <c r="O184" s="1000"/>
    </row>
    <row r="185" spans="4:15">
      <c r="D185" s="1000"/>
      <c r="E185" s="1000"/>
      <c r="F185" s="1000"/>
      <c r="G185" s="1000"/>
      <c r="H185" s="1000"/>
      <c r="I185" s="1000"/>
      <c r="J185" s="1000"/>
      <c r="K185" s="1000"/>
      <c r="L185" s="1000"/>
      <c r="M185" s="1000"/>
      <c r="N185" s="1000"/>
      <c r="O185" s="1000"/>
    </row>
    <row r="186" spans="4:15">
      <c r="D186" s="1000"/>
      <c r="E186" s="1000"/>
      <c r="F186" s="1000"/>
      <c r="G186" s="1000"/>
      <c r="H186" s="1000"/>
      <c r="I186" s="1000"/>
      <c r="J186" s="1000"/>
      <c r="K186" s="1000"/>
      <c r="L186" s="1000"/>
      <c r="M186" s="1000"/>
      <c r="N186" s="1000"/>
      <c r="O186" s="1000"/>
    </row>
    <row r="187" spans="4:15">
      <c r="D187" s="1000"/>
      <c r="E187" s="1000"/>
      <c r="F187" s="1000"/>
      <c r="G187" s="1000"/>
      <c r="H187" s="1000"/>
      <c r="I187" s="1000"/>
      <c r="J187" s="1000"/>
      <c r="K187" s="1000"/>
      <c r="L187" s="1000"/>
      <c r="M187" s="1000"/>
      <c r="N187" s="1000"/>
      <c r="O187" s="1000"/>
    </row>
    <row r="188" spans="4:15">
      <c r="D188" s="1000"/>
      <c r="E188" s="1000"/>
      <c r="F188" s="1000"/>
      <c r="G188" s="1000"/>
      <c r="H188" s="1000"/>
      <c r="I188" s="1000"/>
      <c r="J188" s="1000"/>
      <c r="K188" s="1000"/>
      <c r="L188" s="1000"/>
      <c r="M188" s="1000"/>
      <c r="N188" s="1000"/>
      <c r="O188" s="1000"/>
    </row>
    <row r="189" spans="4:15">
      <c r="D189" s="1000"/>
      <c r="E189" s="1000"/>
      <c r="F189" s="1000"/>
      <c r="G189" s="1000"/>
      <c r="H189" s="1000"/>
      <c r="I189" s="1000"/>
      <c r="J189" s="1000"/>
      <c r="K189" s="1000"/>
      <c r="L189" s="1000"/>
      <c r="M189" s="1000"/>
      <c r="N189" s="1000"/>
      <c r="O189" s="1000"/>
    </row>
    <row r="190" spans="4:15">
      <c r="D190" s="1000"/>
      <c r="E190" s="1000"/>
      <c r="F190" s="1000"/>
      <c r="G190" s="1000"/>
      <c r="H190" s="1000"/>
      <c r="I190" s="1000"/>
      <c r="J190" s="1000"/>
      <c r="K190" s="1000"/>
      <c r="L190" s="1000"/>
      <c r="M190" s="1000"/>
      <c r="N190" s="1000"/>
      <c r="O190" s="1000"/>
    </row>
    <row r="191" spans="4:15">
      <c r="D191" s="1000"/>
      <c r="E191" s="1000"/>
      <c r="F191" s="1000"/>
      <c r="G191" s="1000"/>
      <c r="H191" s="1000"/>
      <c r="I191" s="1000"/>
      <c r="J191" s="1000"/>
      <c r="K191" s="1000"/>
      <c r="L191" s="1000"/>
      <c r="M191" s="1000"/>
      <c r="N191" s="1000"/>
      <c r="O191" s="1000"/>
    </row>
    <row r="192" spans="4:15">
      <c r="D192" s="1000"/>
      <c r="E192" s="1000"/>
      <c r="F192" s="1000"/>
      <c r="G192" s="1000"/>
      <c r="H192" s="1000"/>
      <c r="I192" s="1000"/>
      <c r="J192" s="1000"/>
      <c r="K192" s="1000"/>
      <c r="L192" s="1000"/>
      <c r="M192" s="1000"/>
      <c r="N192" s="1000"/>
      <c r="O192" s="1000"/>
    </row>
    <row r="193" spans="4:15">
      <c r="D193" s="1000"/>
      <c r="E193" s="1000"/>
      <c r="F193" s="1000"/>
      <c r="G193" s="1000"/>
      <c r="H193" s="1000"/>
      <c r="I193" s="1000"/>
      <c r="J193" s="1000"/>
      <c r="K193" s="1000"/>
      <c r="L193" s="1000"/>
      <c r="M193" s="1000"/>
      <c r="N193" s="1000"/>
      <c r="O193" s="1000"/>
    </row>
    <row r="194" spans="4:15">
      <c r="D194" s="1000"/>
      <c r="E194" s="1000"/>
      <c r="F194" s="1000"/>
      <c r="G194" s="1000"/>
      <c r="H194" s="1000"/>
      <c r="I194" s="1000"/>
      <c r="J194" s="1000"/>
      <c r="K194" s="1000"/>
      <c r="L194" s="1000"/>
      <c r="M194" s="1000"/>
      <c r="N194" s="1000"/>
      <c r="O194" s="1000"/>
    </row>
    <row r="195" spans="4:15">
      <c r="D195" s="1000"/>
      <c r="E195" s="1000"/>
      <c r="F195" s="1000"/>
      <c r="G195" s="1000"/>
      <c r="H195" s="1000"/>
      <c r="I195" s="1000"/>
      <c r="J195" s="1000"/>
      <c r="K195" s="1000"/>
      <c r="L195" s="1000"/>
      <c r="M195" s="1000"/>
      <c r="N195" s="1000"/>
      <c r="O195" s="1000"/>
    </row>
    <row r="196" spans="4:15">
      <c r="D196" s="1000"/>
      <c r="E196" s="1000"/>
      <c r="F196" s="1000"/>
      <c r="G196" s="1000"/>
      <c r="H196" s="1000"/>
      <c r="I196" s="1000"/>
      <c r="J196" s="1000"/>
      <c r="K196" s="1000"/>
      <c r="L196" s="1000"/>
      <c r="M196" s="1000"/>
      <c r="N196" s="1000"/>
      <c r="O196" s="1000"/>
    </row>
    <row r="197" spans="4:15">
      <c r="D197" s="1000"/>
      <c r="E197" s="1000"/>
      <c r="F197" s="1000"/>
      <c r="G197" s="1000"/>
      <c r="H197" s="1000"/>
      <c r="I197" s="1000"/>
      <c r="J197" s="1000"/>
      <c r="K197" s="1000"/>
      <c r="L197" s="1000"/>
      <c r="M197" s="1000"/>
      <c r="N197" s="1000"/>
      <c r="O197" s="1000"/>
    </row>
    <row r="198" spans="4:15">
      <c r="D198" s="1000"/>
      <c r="E198" s="1000"/>
      <c r="F198" s="1000"/>
      <c r="G198" s="1000"/>
      <c r="H198" s="1000"/>
      <c r="I198" s="1000"/>
      <c r="J198" s="1000"/>
      <c r="K198" s="1000"/>
      <c r="L198" s="1000"/>
      <c r="M198" s="1000"/>
      <c r="N198" s="1000"/>
      <c r="O198" s="1000"/>
    </row>
    <row r="199" spans="4:15">
      <c r="D199" s="1000"/>
      <c r="E199" s="1000"/>
      <c r="F199" s="1000"/>
      <c r="G199" s="1000"/>
      <c r="H199" s="1000"/>
      <c r="I199" s="1000"/>
      <c r="J199" s="1000"/>
      <c r="K199" s="1000"/>
      <c r="L199" s="1000"/>
      <c r="M199" s="1000"/>
      <c r="N199" s="1000"/>
      <c r="O199" s="1000"/>
    </row>
    <row r="200" spans="4:15">
      <c r="D200" s="1000"/>
      <c r="E200" s="1000"/>
      <c r="F200" s="1000"/>
      <c r="G200" s="1000"/>
      <c r="H200" s="1000"/>
      <c r="I200" s="1000"/>
      <c r="J200" s="1000"/>
      <c r="K200" s="1000"/>
      <c r="L200" s="1000"/>
      <c r="M200" s="1000"/>
      <c r="N200" s="1000"/>
      <c r="O200" s="1000"/>
    </row>
    <row r="201" spans="4:15">
      <c r="D201" s="1000"/>
      <c r="E201" s="1000"/>
      <c r="F201" s="1000"/>
      <c r="G201" s="1000"/>
      <c r="H201" s="1000"/>
      <c r="I201" s="1000"/>
      <c r="J201" s="1000"/>
      <c r="K201" s="1000"/>
      <c r="L201" s="1000"/>
      <c r="M201" s="1000"/>
      <c r="N201" s="1000"/>
      <c r="O201" s="1000"/>
    </row>
    <row r="202" spans="4:15">
      <c r="D202" s="1000"/>
      <c r="E202" s="1000"/>
      <c r="F202" s="1000"/>
      <c r="G202" s="1000"/>
      <c r="H202" s="1000"/>
      <c r="I202" s="1000"/>
      <c r="J202" s="1000"/>
      <c r="K202" s="1000"/>
      <c r="L202" s="1000"/>
      <c r="M202" s="1000"/>
      <c r="N202" s="1000"/>
      <c r="O202" s="1000"/>
    </row>
    <row r="203" spans="4:15">
      <c r="D203" s="1000"/>
      <c r="E203" s="1000"/>
      <c r="F203" s="1000"/>
      <c r="G203" s="1000"/>
      <c r="H203" s="1000"/>
      <c r="I203" s="1000"/>
      <c r="J203" s="1000"/>
      <c r="K203" s="1000"/>
      <c r="L203" s="1000"/>
      <c r="M203" s="1000"/>
      <c r="N203" s="1000"/>
      <c r="O203" s="1000"/>
    </row>
    <row r="204" spans="4:15">
      <c r="D204" s="1000"/>
      <c r="E204" s="1000"/>
      <c r="F204" s="1000"/>
      <c r="G204" s="1000"/>
      <c r="H204" s="1000"/>
      <c r="I204" s="1000"/>
      <c r="J204" s="1000"/>
      <c r="K204" s="1000"/>
      <c r="L204" s="1000"/>
      <c r="M204" s="1000"/>
      <c r="N204" s="1000"/>
      <c r="O204" s="1000"/>
    </row>
    <row r="205" spans="4:15">
      <c r="D205" s="1000"/>
      <c r="E205" s="1000"/>
      <c r="F205" s="1000"/>
      <c r="G205" s="1000"/>
      <c r="H205" s="1000"/>
      <c r="I205" s="1000"/>
      <c r="J205" s="1000"/>
      <c r="K205" s="1000"/>
      <c r="L205" s="1000"/>
      <c r="M205" s="1000"/>
      <c r="N205" s="1000"/>
      <c r="O205" s="1000"/>
    </row>
    <row r="206" spans="4:15">
      <c r="D206" s="1000"/>
      <c r="E206" s="1000"/>
      <c r="F206" s="1000"/>
      <c r="G206" s="1000"/>
      <c r="H206" s="1000"/>
      <c r="I206" s="1000"/>
      <c r="J206" s="1000"/>
      <c r="K206" s="1000"/>
      <c r="L206" s="1000"/>
      <c r="M206" s="1000"/>
      <c r="N206" s="1000"/>
      <c r="O206" s="1000"/>
    </row>
    <row r="207" spans="4:15">
      <c r="D207" s="1000"/>
      <c r="E207" s="1000"/>
      <c r="F207" s="1000"/>
      <c r="G207" s="1000"/>
      <c r="H207" s="1000"/>
      <c r="I207" s="1000"/>
      <c r="J207" s="1000"/>
      <c r="K207" s="1000"/>
      <c r="L207" s="1000"/>
      <c r="M207" s="1000"/>
      <c r="N207" s="1000"/>
      <c r="O207" s="1000"/>
    </row>
    <row r="208" spans="4:15">
      <c r="D208" s="1000"/>
      <c r="E208" s="1000"/>
      <c r="F208" s="1000"/>
      <c r="G208" s="1000"/>
      <c r="H208" s="1000"/>
      <c r="I208" s="1000"/>
      <c r="J208" s="1000"/>
      <c r="K208" s="1000"/>
      <c r="L208" s="1000"/>
      <c r="M208" s="1000"/>
      <c r="N208" s="1000"/>
      <c r="O208" s="1000"/>
    </row>
    <row r="209" spans="4:15">
      <c r="D209" s="1000"/>
      <c r="E209" s="1000"/>
      <c r="F209" s="1000"/>
      <c r="G209" s="1000"/>
      <c r="H209" s="1000"/>
      <c r="I209" s="1000"/>
      <c r="J209" s="1000"/>
      <c r="K209" s="1000"/>
      <c r="L209" s="1000"/>
      <c r="M209" s="1000"/>
      <c r="N209" s="1000"/>
      <c r="O209" s="1000"/>
    </row>
    <row r="210" spans="4:15">
      <c r="D210" s="1000"/>
      <c r="E210" s="1000"/>
      <c r="F210" s="1000"/>
      <c r="G210" s="1000"/>
      <c r="H210" s="1000"/>
      <c r="I210" s="1000"/>
      <c r="J210" s="1000"/>
      <c r="K210" s="1000"/>
      <c r="L210" s="1000"/>
      <c r="M210" s="1000"/>
      <c r="N210" s="1000"/>
      <c r="O210" s="1000"/>
    </row>
    <row r="211" spans="4:15">
      <c r="D211" s="1000"/>
      <c r="E211" s="1000"/>
      <c r="F211" s="1000"/>
      <c r="G211" s="1000"/>
      <c r="H211" s="1000"/>
      <c r="I211" s="1000"/>
      <c r="J211" s="1000"/>
      <c r="K211" s="1000"/>
      <c r="L211" s="1000"/>
      <c r="M211" s="1000"/>
      <c r="N211" s="1000"/>
      <c r="O211" s="1000"/>
    </row>
    <row r="212" spans="4:15">
      <c r="D212" s="1000"/>
      <c r="E212" s="1000"/>
      <c r="F212" s="1000"/>
      <c r="G212" s="1000"/>
      <c r="H212" s="1000"/>
      <c r="I212" s="1000"/>
      <c r="J212" s="1000"/>
      <c r="K212" s="1000"/>
      <c r="L212" s="1000"/>
      <c r="M212" s="1000"/>
      <c r="N212" s="1000"/>
      <c r="O212" s="1000"/>
    </row>
    <row r="213" spans="4:15">
      <c r="D213" s="1000"/>
      <c r="E213" s="1000"/>
      <c r="F213" s="1000"/>
      <c r="G213" s="1000"/>
      <c r="H213" s="1000"/>
      <c r="I213" s="1000"/>
      <c r="J213" s="1000"/>
      <c r="K213" s="1000"/>
      <c r="L213" s="1000"/>
      <c r="M213" s="1000"/>
      <c r="N213" s="1000"/>
      <c r="O213" s="1000"/>
    </row>
    <row r="214" spans="4:15">
      <c r="D214" s="1000"/>
      <c r="E214" s="1000"/>
      <c r="F214" s="1000"/>
      <c r="G214" s="1000"/>
      <c r="H214" s="1000"/>
      <c r="I214" s="1000"/>
      <c r="J214" s="1000"/>
      <c r="K214" s="1000"/>
      <c r="L214" s="1000"/>
      <c r="M214" s="1000"/>
      <c r="N214" s="1000"/>
      <c r="O214" s="1000"/>
    </row>
    <row r="215" spans="4:15">
      <c r="D215" s="1000"/>
      <c r="E215" s="1000"/>
      <c r="F215" s="1000"/>
      <c r="G215" s="1000"/>
      <c r="H215" s="1000"/>
      <c r="I215" s="1000"/>
      <c r="J215" s="1000"/>
      <c r="K215" s="1000"/>
      <c r="L215" s="1000"/>
      <c r="M215" s="1000"/>
      <c r="N215" s="1000"/>
      <c r="O215" s="1000"/>
    </row>
    <row r="216" spans="4:15">
      <c r="D216" s="1000"/>
      <c r="E216" s="1000"/>
      <c r="F216" s="1000"/>
      <c r="G216" s="1000"/>
      <c r="H216" s="1000"/>
      <c r="I216" s="1000"/>
      <c r="J216" s="1000"/>
      <c r="K216" s="1000"/>
      <c r="L216" s="1000"/>
      <c r="M216" s="1000"/>
      <c r="N216" s="1000"/>
      <c r="O216" s="1000"/>
    </row>
    <row r="217" spans="4:15">
      <c r="D217" s="1000"/>
      <c r="E217" s="1000"/>
      <c r="F217" s="1000"/>
      <c r="G217" s="1000"/>
      <c r="H217" s="1000"/>
      <c r="I217" s="1000"/>
      <c r="J217" s="1000"/>
      <c r="K217" s="1000"/>
      <c r="L217" s="1000"/>
      <c r="M217" s="1000"/>
      <c r="N217" s="1000"/>
      <c r="O217" s="1000"/>
    </row>
    <row r="218" spans="4:15">
      <c r="D218" s="1000"/>
      <c r="E218" s="1000"/>
      <c r="F218" s="1000"/>
      <c r="G218" s="1000"/>
      <c r="H218" s="1000"/>
      <c r="I218" s="1000"/>
      <c r="J218" s="1000"/>
      <c r="K218" s="1000"/>
      <c r="L218" s="1000"/>
      <c r="M218" s="1000"/>
      <c r="N218" s="1000"/>
      <c r="O218" s="1000"/>
    </row>
    <row r="219" spans="4:15">
      <c r="D219" s="1000"/>
      <c r="E219" s="1000"/>
      <c r="F219" s="1000"/>
      <c r="G219" s="1000"/>
      <c r="H219" s="1000"/>
      <c r="I219" s="1000"/>
      <c r="J219" s="1000"/>
      <c r="K219" s="1000"/>
      <c r="L219" s="1000"/>
      <c r="M219" s="1000"/>
      <c r="N219" s="1000"/>
      <c r="O219" s="1000"/>
    </row>
    <row r="220" spans="4:15">
      <c r="D220" s="1000"/>
      <c r="E220" s="1000"/>
      <c r="F220" s="1000"/>
      <c r="G220" s="1000"/>
      <c r="H220" s="1000"/>
      <c r="I220" s="1000"/>
      <c r="J220" s="1000"/>
      <c r="K220" s="1000"/>
      <c r="L220" s="1000"/>
      <c r="M220" s="1000"/>
      <c r="N220" s="1000"/>
      <c r="O220" s="1000"/>
    </row>
    <row r="221" spans="4:15">
      <c r="D221" s="1000"/>
      <c r="E221" s="1000"/>
      <c r="F221" s="1000"/>
      <c r="G221" s="1000"/>
      <c r="H221" s="1000"/>
      <c r="I221" s="1000"/>
      <c r="J221" s="1000"/>
      <c r="K221" s="1000"/>
      <c r="L221" s="1000"/>
      <c r="M221" s="1000"/>
      <c r="N221" s="1000"/>
      <c r="O221" s="1000"/>
    </row>
    <row r="222" spans="4:15">
      <c r="D222" s="1000"/>
      <c r="E222" s="1000"/>
      <c r="F222" s="1000"/>
      <c r="G222" s="1000"/>
      <c r="H222" s="1000"/>
      <c r="I222" s="1000"/>
      <c r="J222" s="1000"/>
      <c r="K222" s="1000"/>
      <c r="L222" s="1000"/>
      <c r="M222" s="1000"/>
      <c r="N222" s="1000"/>
      <c r="O222" s="1000"/>
    </row>
    <row r="223" spans="4:15">
      <c r="D223" s="1000"/>
      <c r="E223" s="1000"/>
      <c r="F223" s="1000"/>
      <c r="G223" s="1000"/>
      <c r="H223" s="1000"/>
      <c r="I223" s="1000"/>
      <c r="J223" s="1000"/>
      <c r="K223" s="1000"/>
      <c r="L223" s="1000"/>
      <c r="M223" s="1000"/>
      <c r="N223" s="1000"/>
      <c r="O223" s="1000"/>
    </row>
    <row r="224" spans="4:15">
      <c r="D224" s="1000"/>
      <c r="E224" s="1000"/>
      <c r="F224" s="1000"/>
      <c r="G224" s="1000"/>
      <c r="H224" s="1000"/>
      <c r="I224" s="1000"/>
      <c r="J224" s="1000"/>
      <c r="K224" s="1000"/>
      <c r="L224" s="1000"/>
      <c r="M224" s="1000"/>
      <c r="N224" s="1000"/>
      <c r="O224" s="1000"/>
    </row>
    <row r="225" spans="4:15">
      <c r="D225" s="1000"/>
      <c r="E225" s="1000"/>
      <c r="F225" s="1000"/>
      <c r="G225" s="1000"/>
      <c r="H225" s="1000"/>
      <c r="I225" s="1000"/>
      <c r="J225" s="1000"/>
      <c r="K225" s="1000"/>
      <c r="L225" s="1000"/>
      <c r="M225" s="1000"/>
      <c r="N225" s="1000"/>
      <c r="O225" s="1000"/>
    </row>
    <row r="226" spans="4:15">
      <c r="D226" s="1000"/>
      <c r="E226" s="1000"/>
      <c r="F226" s="1000"/>
      <c r="G226" s="1000"/>
      <c r="H226" s="1000"/>
      <c r="I226" s="1000"/>
      <c r="J226" s="1000"/>
      <c r="K226" s="1000"/>
      <c r="L226" s="1000"/>
      <c r="M226" s="1000"/>
      <c r="N226" s="1000"/>
      <c r="O226" s="1000"/>
    </row>
    <row r="227" spans="4:15">
      <c r="D227" s="1000"/>
      <c r="E227" s="1000"/>
      <c r="F227" s="1000"/>
      <c r="G227" s="1000"/>
      <c r="H227" s="1000"/>
      <c r="I227" s="1000"/>
      <c r="J227" s="1000"/>
      <c r="K227" s="1000"/>
      <c r="L227" s="1000"/>
      <c r="M227" s="1000"/>
      <c r="N227" s="1000"/>
      <c r="O227" s="1000"/>
    </row>
    <row r="228" spans="4:15">
      <c r="D228" s="1000"/>
      <c r="E228" s="1000"/>
      <c r="F228" s="1000"/>
      <c r="G228" s="1000"/>
      <c r="H228" s="1000"/>
      <c r="I228" s="1000"/>
      <c r="J228" s="1000"/>
      <c r="K228" s="1000"/>
      <c r="L228" s="1000"/>
      <c r="M228" s="1000"/>
      <c r="N228" s="1000"/>
      <c r="O228" s="1000"/>
    </row>
    <row r="229" spans="4:15">
      <c r="D229" s="1000"/>
      <c r="E229" s="1000"/>
      <c r="F229" s="1000"/>
      <c r="G229" s="1000"/>
      <c r="H229" s="1000"/>
      <c r="I229" s="1000"/>
      <c r="J229" s="1000"/>
      <c r="K229" s="1000"/>
      <c r="L229" s="1000"/>
      <c r="M229" s="1000"/>
      <c r="N229" s="1000"/>
      <c r="O229" s="1000"/>
    </row>
    <row r="230" spans="4:15">
      <c r="D230" s="1000"/>
      <c r="E230" s="1000"/>
      <c r="F230" s="1000"/>
      <c r="G230" s="1000"/>
      <c r="H230" s="1000"/>
      <c r="I230" s="1000"/>
      <c r="J230" s="1000"/>
      <c r="K230" s="1000"/>
      <c r="L230" s="1000"/>
      <c r="M230" s="1000"/>
      <c r="N230" s="1000"/>
      <c r="O230" s="1000"/>
    </row>
    <row r="231" spans="4:15">
      <c r="D231" s="1000"/>
      <c r="E231" s="1000"/>
      <c r="F231" s="1000"/>
      <c r="G231" s="1000"/>
      <c r="H231" s="1000"/>
      <c r="I231" s="1000"/>
      <c r="J231" s="1000"/>
      <c r="K231" s="1000"/>
      <c r="L231" s="1000"/>
      <c r="M231" s="1000"/>
      <c r="N231" s="1000"/>
      <c r="O231" s="1000"/>
    </row>
    <row r="232" spans="4:15">
      <c r="D232" s="1000"/>
      <c r="E232" s="1000"/>
      <c r="F232" s="1000"/>
      <c r="G232" s="1000"/>
      <c r="H232" s="1000"/>
      <c r="I232" s="1000"/>
      <c r="J232" s="1000"/>
      <c r="K232" s="1000"/>
      <c r="L232" s="1000"/>
      <c r="M232" s="1000"/>
      <c r="N232" s="1000"/>
      <c r="O232" s="1000"/>
    </row>
    <row r="233" spans="4:15">
      <c r="D233" s="1000"/>
      <c r="E233" s="1000"/>
      <c r="F233" s="1000"/>
      <c r="G233" s="1000"/>
      <c r="H233" s="1000"/>
      <c r="I233" s="1000"/>
      <c r="J233" s="1000"/>
      <c r="K233" s="1000"/>
      <c r="L233" s="1000"/>
      <c r="M233" s="1000"/>
      <c r="N233" s="1000"/>
      <c r="O233" s="1000"/>
    </row>
    <row r="234" spans="4:15">
      <c r="D234" s="1000"/>
      <c r="E234" s="1000"/>
      <c r="F234" s="1000"/>
      <c r="G234" s="1000"/>
      <c r="H234" s="1000"/>
      <c r="I234" s="1000"/>
      <c r="J234" s="1000"/>
      <c r="K234" s="1000"/>
      <c r="L234" s="1000"/>
      <c r="M234" s="1000"/>
      <c r="N234" s="1000"/>
      <c r="O234" s="1000"/>
    </row>
    <row r="235" spans="4:15">
      <c r="D235" s="1000"/>
      <c r="E235" s="1000"/>
      <c r="F235" s="1000"/>
      <c r="G235" s="1000"/>
      <c r="H235" s="1000"/>
      <c r="I235" s="1000"/>
      <c r="J235" s="1000"/>
      <c r="K235" s="1000"/>
      <c r="L235" s="1000"/>
      <c r="M235" s="1000"/>
      <c r="N235" s="1000"/>
      <c r="O235" s="1000"/>
    </row>
    <row r="236" spans="4:15">
      <c r="D236" s="1000"/>
      <c r="E236" s="1000"/>
      <c r="F236" s="1000"/>
      <c r="G236" s="1000"/>
      <c r="H236" s="1000"/>
      <c r="I236" s="1000"/>
      <c r="J236" s="1000"/>
      <c r="K236" s="1000"/>
      <c r="L236" s="1000"/>
      <c r="M236" s="1000"/>
      <c r="N236" s="1000"/>
      <c r="O236" s="1000"/>
    </row>
    <row r="237" spans="4:15">
      <c r="D237" s="1000"/>
      <c r="E237" s="1000"/>
      <c r="F237" s="1000"/>
      <c r="G237" s="1000"/>
      <c r="H237" s="1000"/>
      <c r="I237" s="1000"/>
      <c r="J237" s="1000"/>
      <c r="K237" s="1000"/>
      <c r="L237" s="1000"/>
      <c r="M237" s="1000"/>
      <c r="N237" s="1000"/>
      <c r="O237" s="1000"/>
    </row>
    <row r="238" spans="4:15">
      <c r="D238" s="1000"/>
      <c r="E238" s="1000"/>
      <c r="F238" s="1000"/>
      <c r="G238" s="1000"/>
      <c r="H238" s="1000"/>
      <c r="I238" s="1000"/>
      <c r="J238" s="1000"/>
      <c r="K238" s="1000"/>
      <c r="L238" s="1000"/>
      <c r="M238" s="1000"/>
      <c r="N238" s="1000"/>
      <c r="O238" s="1000"/>
    </row>
    <row r="239" spans="4:15">
      <c r="D239" s="1000"/>
      <c r="E239" s="1000"/>
      <c r="F239" s="1000"/>
      <c r="G239" s="1000"/>
      <c r="H239" s="1000"/>
      <c r="I239" s="1000"/>
      <c r="J239" s="1000"/>
      <c r="K239" s="1000"/>
      <c r="L239" s="1000"/>
      <c r="M239" s="1000"/>
      <c r="N239" s="1000"/>
      <c r="O239" s="1000"/>
    </row>
    <row r="240" spans="4:15">
      <c r="D240" s="1000"/>
      <c r="E240" s="1000"/>
      <c r="F240" s="1000"/>
      <c r="G240" s="1000"/>
      <c r="H240" s="1000"/>
      <c r="I240" s="1000"/>
      <c r="J240" s="1000"/>
      <c r="K240" s="1000"/>
      <c r="L240" s="1000"/>
      <c r="M240" s="1000"/>
      <c r="N240" s="1000"/>
      <c r="O240" s="1000"/>
    </row>
    <row r="241" spans="4:15">
      <c r="D241" s="1000"/>
      <c r="E241" s="1000"/>
      <c r="F241" s="1000"/>
      <c r="G241" s="1000"/>
      <c r="H241" s="1000"/>
      <c r="I241" s="1000"/>
      <c r="J241" s="1000"/>
      <c r="K241" s="1000"/>
      <c r="L241" s="1000"/>
      <c r="M241" s="1000"/>
      <c r="N241" s="1000"/>
      <c r="O241" s="1000"/>
    </row>
    <row r="242" spans="4:15">
      <c r="D242" s="1000"/>
      <c r="E242" s="1000"/>
      <c r="F242" s="1000"/>
      <c r="G242" s="1000"/>
      <c r="H242" s="1000"/>
      <c r="I242" s="1000"/>
      <c r="J242" s="1000"/>
      <c r="K242" s="1000"/>
      <c r="L242" s="1000"/>
      <c r="M242" s="1000"/>
      <c r="N242" s="1000"/>
      <c r="O242" s="1000"/>
    </row>
    <row r="243" spans="4:15">
      <c r="D243" s="1000"/>
      <c r="E243" s="1000"/>
      <c r="F243" s="1000"/>
      <c r="G243" s="1000"/>
      <c r="H243" s="1000"/>
      <c r="I243" s="1000"/>
      <c r="J243" s="1000"/>
      <c r="K243" s="1000"/>
      <c r="L243" s="1000"/>
      <c r="M243" s="1000"/>
      <c r="N243" s="1000"/>
      <c r="O243" s="1000"/>
    </row>
    <row r="244" spans="4:15">
      <c r="D244" s="1000"/>
      <c r="E244" s="1000"/>
      <c r="F244" s="1000"/>
      <c r="G244" s="1000"/>
      <c r="H244" s="1000"/>
      <c r="I244" s="1000"/>
      <c r="J244" s="1000"/>
      <c r="K244" s="1000"/>
      <c r="L244" s="1000"/>
      <c r="M244" s="1000"/>
      <c r="N244" s="1000"/>
      <c r="O244" s="1000"/>
    </row>
    <row r="245" spans="4:15">
      <c r="D245" s="1000"/>
      <c r="E245" s="1000"/>
      <c r="F245" s="1000"/>
      <c r="G245" s="1000"/>
      <c r="H245" s="1000"/>
      <c r="I245" s="1000"/>
      <c r="J245" s="1000"/>
      <c r="K245" s="1000"/>
      <c r="L245" s="1000"/>
      <c r="M245" s="1000"/>
      <c r="N245" s="1000"/>
      <c r="O245" s="1000"/>
    </row>
    <row r="246" spans="4:15">
      <c r="D246" s="1000"/>
      <c r="E246" s="1000"/>
      <c r="F246" s="1000"/>
      <c r="G246" s="1000"/>
      <c r="H246" s="1000"/>
      <c r="I246" s="1000"/>
      <c r="J246" s="1000"/>
      <c r="K246" s="1000"/>
      <c r="L246" s="1000"/>
      <c r="M246" s="1000"/>
      <c r="N246" s="1000"/>
      <c r="O246" s="1000"/>
    </row>
    <row r="247" spans="4:15">
      <c r="D247" s="1000"/>
      <c r="E247" s="1000"/>
      <c r="F247" s="1000"/>
      <c r="G247" s="1000"/>
      <c r="H247" s="1000"/>
      <c r="I247" s="1000"/>
      <c r="J247" s="1000"/>
      <c r="K247" s="1000"/>
      <c r="L247" s="1000"/>
      <c r="M247" s="1000"/>
      <c r="N247" s="1000"/>
      <c r="O247" s="1000"/>
    </row>
    <row r="248" spans="4:15">
      <c r="D248" s="1000"/>
      <c r="E248" s="1000"/>
      <c r="F248" s="1000"/>
      <c r="G248" s="1000"/>
      <c r="H248" s="1000"/>
      <c r="I248" s="1000"/>
      <c r="J248" s="1000"/>
      <c r="K248" s="1000"/>
      <c r="L248" s="1000"/>
      <c r="M248" s="1000"/>
      <c r="N248" s="1000"/>
      <c r="O248" s="1000"/>
    </row>
    <row r="249" spans="4:15">
      <c r="D249" s="1000"/>
      <c r="E249" s="1000"/>
      <c r="F249" s="1000"/>
      <c r="G249" s="1000"/>
      <c r="H249" s="1000"/>
      <c r="I249" s="1000"/>
      <c r="J249" s="1000"/>
      <c r="K249" s="1000"/>
      <c r="L249" s="1000"/>
      <c r="M249" s="1000"/>
      <c r="N249" s="1000"/>
      <c r="O249" s="1000"/>
    </row>
    <row r="250" spans="4:15">
      <c r="D250" s="1000"/>
      <c r="E250" s="1000"/>
      <c r="F250" s="1000"/>
      <c r="G250" s="1000"/>
      <c r="H250" s="1000"/>
      <c r="I250" s="1000"/>
      <c r="J250" s="1000"/>
      <c r="K250" s="1000"/>
      <c r="L250" s="1000"/>
      <c r="M250" s="1000"/>
      <c r="N250" s="1000"/>
      <c r="O250" s="1000"/>
    </row>
    <row r="251" spans="4:15">
      <c r="D251" s="1000"/>
      <c r="E251" s="1000"/>
      <c r="F251" s="1000"/>
      <c r="G251" s="1000"/>
      <c r="H251" s="1000"/>
      <c r="I251" s="1000"/>
      <c r="J251" s="1000"/>
      <c r="K251" s="1000"/>
      <c r="L251" s="1000"/>
      <c r="M251" s="1000"/>
      <c r="N251" s="1000"/>
      <c r="O251" s="1000"/>
    </row>
    <row r="252" spans="4:15">
      <c r="D252" s="1000"/>
      <c r="E252" s="1000"/>
      <c r="F252" s="1000"/>
      <c r="G252" s="1000"/>
      <c r="H252" s="1000"/>
      <c r="I252" s="1000"/>
      <c r="J252" s="1000"/>
      <c r="K252" s="1000"/>
      <c r="L252" s="1000"/>
      <c r="M252" s="1000"/>
      <c r="N252" s="1000"/>
      <c r="O252" s="1000"/>
    </row>
    <row r="253" spans="4:15">
      <c r="D253" s="1000"/>
      <c r="E253" s="1000"/>
      <c r="F253" s="1000"/>
      <c r="G253" s="1000"/>
      <c r="H253" s="1000"/>
      <c r="I253" s="1000"/>
      <c r="J253" s="1000"/>
      <c r="K253" s="1000"/>
      <c r="L253" s="1000"/>
      <c r="M253" s="1000"/>
      <c r="N253" s="1000"/>
      <c r="O253" s="1000"/>
    </row>
    <row r="254" spans="4:15">
      <c r="D254" s="1000"/>
      <c r="E254" s="1000"/>
      <c r="F254" s="1000"/>
      <c r="G254" s="1000"/>
      <c r="H254" s="1000"/>
      <c r="I254" s="1000"/>
      <c r="J254" s="1000"/>
      <c r="K254" s="1000"/>
      <c r="L254" s="1000"/>
      <c r="M254" s="1000"/>
      <c r="N254" s="1000"/>
      <c r="O254" s="1000"/>
    </row>
    <row r="255" spans="4:15">
      <c r="D255" s="1000"/>
      <c r="E255" s="1000"/>
      <c r="F255" s="1000"/>
      <c r="G255" s="1000"/>
      <c r="H255" s="1000"/>
      <c r="I255" s="1000"/>
      <c r="J255" s="1000"/>
      <c r="K255" s="1000"/>
      <c r="L255" s="1000"/>
      <c r="M255" s="1000"/>
      <c r="N255" s="1000"/>
      <c r="O255" s="1000"/>
    </row>
    <row r="256" spans="4:15">
      <c r="D256" s="1000"/>
      <c r="E256" s="1000"/>
      <c r="F256" s="1000"/>
      <c r="G256" s="1000"/>
      <c r="H256" s="1000"/>
      <c r="I256" s="1000"/>
      <c r="J256" s="1000"/>
      <c r="K256" s="1000"/>
      <c r="L256" s="1000"/>
      <c r="M256" s="1000"/>
      <c r="N256" s="1000"/>
      <c r="O256" s="1000"/>
    </row>
    <row r="257" spans="4:15">
      <c r="D257" s="1000"/>
      <c r="E257" s="1000"/>
      <c r="F257" s="1000"/>
      <c r="G257" s="1000"/>
      <c r="H257" s="1000"/>
      <c r="I257" s="1000"/>
      <c r="J257" s="1000"/>
      <c r="K257" s="1000"/>
      <c r="L257" s="1000"/>
      <c r="M257" s="1000"/>
      <c r="N257" s="1000"/>
      <c r="O257" s="1000"/>
    </row>
    <row r="258" spans="4:15">
      <c r="D258" s="1000"/>
      <c r="E258" s="1000"/>
      <c r="F258" s="1000"/>
      <c r="G258" s="1000"/>
      <c r="H258" s="1000"/>
      <c r="I258" s="1000"/>
      <c r="J258" s="1000"/>
      <c r="K258" s="1000"/>
      <c r="L258" s="1000"/>
      <c r="M258" s="1000"/>
      <c r="N258" s="1000"/>
      <c r="O258" s="1000"/>
    </row>
    <row r="259" spans="4:15">
      <c r="D259" s="1000"/>
      <c r="E259" s="1000"/>
      <c r="F259" s="1000"/>
      <c r="G259" s="1000"/>
      <c r="H259" s="1000"/>
      <c r="I259" s="1000"/>
      <c r="J259" s="1000"/>
      <c r="K259" s="1000"/>
      <c r="L259" s="1000"/>
      <c r="M259" s="1000"/>
      <c r="N259" s="1000"/>
      <c r="O259" s="1000"/>
    </row>
    <row r="260" spans="4:15">
      <c r="D260" s="1000"/>
      <c r="E260" s="1000"/>
      <c r="F260" s="1000"/>
      <c r="G260" s="1000"/>
      <c r="H260" s="1000"/>
      <c r="I260" s="1000"/>
      <c r="J260" s="1000"/>
      <c r="K260" s="1000"/>
      <c r="L260" s="1000"/>
      <c r="M260" s="1000"/>
      <c r="N260" s="1000"/>
      <c r="O260" s="1000"/>
    </row>
    <row r="261" spans="4:15">
      <c r="D261" s="1000"/>
      <c r="E261" s="1000"/>
      <c r="F261" s="1000"/>
      <c r="G261" s="1000"/>
      <c r="H261" s="1000"/>
      <c r="I261" s="1000"/>
      <c r="J261" s="1000"/>
      <c r="K261" s="1000"/>
      <c r="L261" s="1000"/>
      <c r="M261" s="1000"/>
      <c r="N261" s="1000"/>
      <c r="O261" s="1000"/>
    </row>
    <row r="262" spans="4:15">
      <c r="D262" s="1000"/>
      <c r="E262" s="1000"/>
      <c r="F262" s="1000"/>
      <c r="G262" s="1000"/>
      <c r="H262" s="1000"/>
      <c r="I262" s="1000"/>
      <c r="J262" s="1000"/>
      <c r="K262" s="1000"/>
      <c r="L262" s="1000"/>
      <c r="M262" s="1000"/>
      <c r="N262" s="1000"/>
      <c r="O262" s="1000"/>
    </row>
    <row r="263" spans="4:15">
      <c r="D263" s="1000"/>
      <c r="E263" s="1000"/>
      <c r="F263" s="1000"/>
      <c r="G263" s="1000"/>
      <c r="H263" s="1000"/>
      <c r="I263" s="1000"/>
      <c r="J263" s="1000"/>
      <c r="K263" s="1000"/>
      <c r="L263" s="1000"/>
      <c r="M263" s="1000"/>
      <c r="N263" s="1000"/>
      <c r="O263" s="1000"/>
    </row>
    <row r="264" spans="4:15">
      <c r="D264" s="1000"/>
      <c r="E264" s="1000"/>
      <c r="F264" s="1000"/>
      <c r="G264" s="1000"/>
      <c r="H264" s="1000"/>
      <c r="I264" s="1000"/>
      <c r="J264" s="1000"/>
      <c r="K264" s="1000"/>
      <c r="L264" s="1000"/>
      <c r="M264" s="1000"/>
      <c r="N264" s="1000"/>
      <c r="O264" s="1000"/>
    </row>
    <row r="265" spans="4:15">
      <c r="D265" s="1000"/>
      <c r="E265" s="1000"/>
      <c r="F265" s="1000"/>
      <c r="G265" s="1000"/>
      <c r="H265" s="1000"/>
      <c r="I265" s="1000"/>
      <c r="J265" s="1000"/>
      <c r="K265" s="1000"/>
      <c r="L265" s="1000"/>
      <c r="M265" s="1000"/>
      <c r="N265" s="1000"/>
      <c r="O265" s="1000"/>
    </row>
    <row r="266" spans="4:15">
      <c r="D266" s="1000"/>
      <c r="E266" s="1000"/>
      <c r="F266" s="1000"/>
      <c r="G266" s="1000"/>
      <c r="H266" s="1000"/>
      <c r="I266" s="1000"/>
      <c r="J266" s="1000"/>
      <c r="K266" s="1000"/>
      <c r="L266" s="1000"/>
      <c r="M266" s="1000"/>
      <c r="N266" s="1000"/>
      <c r="O266" s="1000"/>
    </row>
    <row r="267" spans="4:15">
      <c r="D267" s="1000"/>
      <c r="E267" s="1000"/>
      <c r="F267" s="1000"/>
      <c r="G267" s="1000"/>
      <c r="H267" s="1000"/>
      <c r="I267" s="1000"/>
      <c r="J267" s="1000"/>
      <c r="K267" s="1000"/>
      <c r="L267" s="1000"/>
      <c r="M267" s="1000"/>
      <c r="N267" s="1000"/>
      <c r="O267" s="1000"/>
    </row>
    <row r="268" spans="4:15">
      <c r="D268" s="1000"/>
      <c r="E268" s="1000"/>
      <c r="F268" s="1000"/>
      <c r="G268" s="1000"/>
      <c r="H268" s="1000"/>
      <c r="I268" s="1000"/>
      <c r="J268" s="1000"/>
      <c r="K268" s="1000"/>
      <c r="L268" s="1000"/>
      <c r="M268" s="1000"/>
      <c r="N268" s="1000"/>
      <c r="O268" s="1000"/>
    </row>
    <row r="269" spans="4:15">
      <c r="D269" s="1000"/>
      <c r="E269" s="1000"/>
      <c r="F269" s="1000"/>
      <c r="G269" s="1000"/>
      <c r="H269" s="1000"/>
      <c r="I269" s="1000"/>
      <c r="J269" s="1000"/>
      <c r="K269" s="1000"/>
      <c r="L269" s="1000"/>
      <c r="M269" s="1000"/>
      <c r="N269" s="1000"/>
      <c r="O269" s="1000"/>
    </row>
    <row r="270" spans="4:15">
      <c r="D270" s="1000"/>
      <c r="E270" s="1000"/>
      <c r="F270" s="1000"/>
      <c r="G270" s="1000"/>
      <c r="H270" s="1000"/>
      <c r="I270" s="1000"/>
      <c r="J270" s="1000"/>
      <c r="K270" s="1000"/>
      <c r="L270" s="1000"/>
      <c r="M270" s="1000"/>
      <c r="N270" s="1000"/>
      <c r="O270" s="1000"/>
    </row>
    <row r="271" spans="4:15">
      <c r="D271" s="1000"/>
      <c r="E271" s="1000"/>
      <c r="F271" s="1000"/>
      <c r="G271" s="1000"/>
      <c r="H271" s="1000"/>
      <c r="I271" s="1000"/>
      <c r="J271" s="1000"/>
      <c r="K271" s="1000"/>
      <c r="L271" s="1000"/>
      <c r="M271" s="1000"/>
      <c r="N271" s="1000"/>
      <c r="O271" s="1000"/>
    </row>
    <row r="272" spans="4:15">
      <c r="D272" s="1000"/>
      <c r="E272" s="1000"/>
      <c r="F272" s="1000"/>
      <c r="G272" s="1000"/>
      <c r="H272" s="1000"/>
      <c r="I272" s="1000"/>
      <c r="J272" s="1000"/>
      <c r="K272" s="1000"/>
      <c r="L272" s="1000"/>
      <c r="M272" s="1000"/>
      <c r="N272" s="1000"/>
      <c r="O272" s="1000"/>
    </row>
    <row r="273" spans="4:15">
      <c r="D273" s="1000"/>
      <c r="E273" s="1000"/>
      <c r="F273" s="1000"/>
      <c r="G273" s="1000"/>
      <c r="H273" s="1000"/>
      <c r="I273" s="1000"/>
      <c r="J273" s="1000"/>
      <c r="K273" s="1000"/>
      <c r="L273" s="1000"/>
      <c r="M273" s="1000"/>
      <c r="N273" s="1000"/>
      <c r="O273" s="1000"/>
    </row>
    <row r="274" spans="4:15">
      <c r="D274" s="1000"/>
      <c r="E274" s="1000"/>
      <c r="F274" s="1000"/>
      <c r="G274" s="1000"/>
      <c r="H274" s="1000"/>
      <c r="I274" s="1000"/>
      <c r="J274" s="1000"/>
      <c r="K274" s="1000"/>
      <c r="L274" s="1000"/>
      <c r="M274" s="1000"/>
      <c r="N274" s="1000"/>
      <c r="O274" s="1000"/>
    </row>
    <row r="275" spans="4:15">
      <c r="D275" s="1000"/>
      <c r="E275" s="1000"/>
      <c r="F275" s="1000"/>
      <c r="G275" s="1000"/>
      <c r="H275" s="1000"/>
      <c r="I275" s="1000"/>
      <c r="J275" s="1000"/>
      <c r="K275" s="1000"/>
      <c r="L275" s="1000"/>
      <c r="M275" s="1000"/>
      <c r="N275" s="1000"/>
      <c r="O275" s="1000"/>
    </row>
    <row r="276" spans="4:15">
      <c r="D276" s="1000"/>
      <c r="E276" s="1000"/>
      <c r="F276" s="1000"/>
      <c r="G276" s="1000"/>
      <c r="H276" s="1000"/>
      <c r="I276" s="1000"/>
      <c r="J276" s="1000"/>
      <c r="K276" s="1000"/>
      <c r="L276" s="1000"/>
      <c r="M276" s="1000"/>
      <c r="N276" s="1000"/>
      <c r="O276" s="1000"/>
    </row>
    <row r="277" spans="4:15">
      <c r="D277" s="1000"/>
      <c r="E277" s="1000"/>
      <c r="F277" s="1000"/>
      <c r="G277" s="1000"/>
      <c r="H277" s="1000"/>
      <c r="I277" s="1000"/>
      <c r="J277" s="1000"/>
      <c r="K277" s="1000"/>
      <c r="L277" s="1000"/>
      <c r="M277" s="1000"/>
      <c r="N277" s="1000"/>
      <c r="O277" s="1000"/>
    </row>
    <row r="278" spans="4:15">
      <c r="D278" s="1000"/>
      <c r="E278" s="1000"/>
      <c r="F278" s="1000"/>
      <c r="G278" s="1000"/>
      <c r="H278" s="1000"/>
      <c r="I278" s="1000"/>
      <c r="J278" s="1000"/>
      <c r="K278" s="1000"/>
      <c r="L278" s="1000"/>
      <c r="M278" s="1000"/>
      <c r="N278" s="1000"/>
      <c r="O278" s="1000"/>
    </row>
    <row r="279" spans="4:15">
      <c r="D279" s="1000"/>
      <c r="E279" s="1000"/>
      <c r="F279" s="1000"/>
      <c r="G279" s="1000"/>
      <c r="H279" s="1000"/>
      <c r="I279" s="1000"/>
      <c r="J279" s="1000"/>
      <c r="K279" s="1000"/>
      <c r="L279" s="1000"/>
      <c r="M279" s="1000"/>
      <c r="N279" s="1000"/>
      <c r="O279" s="1000"/>
    </row>
    <row r="280" spans="4:15">
      <c r="D280" s="1000"/>
      <c r="E280" s="1000"/>
      <c r="F280" s="1000"/>
      <c r="G280" s="1000"/>
      <c r="H280" s="1000"/>
      <c r="I280" s="1000"/>
      <c r="J280" s="1000"/>
      <c r="K280" s="1000"/>
      <c r="L280" s="1000"/>
      <c r="M280" s="1000"/>
      <c r="N280" s="1000"/>
      <c r="O280" s="1000"/>
    </row>
    <row r="281" spans="4:15">
      <c r="D281" s="1000"/>
      <c r="E281" s="1000"/>
      <c r="F281" s="1000"/>
      <c r="G281" s="1000"/>
      <c r="H281" s="1000"/>
      <c r="I281" s="1000"/>
      <c r="J281" s="1000"/>
      <c r="K281" s="1000"/>
      <c r="L281" s="1000"/>
      <c r="M281" s="1000"/>
      <c r="N281" s="1000"/>
      <c r="O281" s="1000"/>
    </row>
    <row r="282" spans="4:15">
      <c r="D282" s="1000"/>
      <c r="E282" s="1000"/>
      <c r="F282" s="1000"/>
      <c r="G282" s="1000"/>
      <c r="H282" s="1000"/>
      <c r="I282" s="1000"/>
      <c r="J282" s="1000"/>
      <c r="K282" s="1000"/>
      <c r="L282" s="1000"/>
      <c r="M282" s="1000"/>
      <c r="N282" s="1000"/>
      <c r="O282" s="1000"/>
    </row>
    <row r="283" spans="4:15">
      <c r="D283" s="1000"/>
      <c r="E283" s="1000"/>
      <c r="F283" s="1000"/>
      <c r="G283" s="1000"/>
      <c r="H283" s="1000"/>
      <c r="I283" s="1000"/>
      <c r="J283" s="1000"/>
      <c r="K283" s="1000"/>
      <c r="L283" s="1000"/>
      <c r="M283" s="1000"/>
      <c r="N283" s="1000"/>
      <c r="O283" s="1000"/>
    </row>
    <row r="284" spans="4:15">
      <c r="D284" s="1000"/>
      <c r="E284" s="1000"/>
      <c r="F284" s="1000"/>
      <c r="G284" s="1000"/>
      <c r="H284" s="1000"/>
      <c r="I284" s="1000"/>
      <c r="J284" s="1000"/>
      <c r="K284" s="1000"/>
      <c r="L284" s="1000"/>
      <c r="M284" s="1000"/>
      <c r="N284" s="1000"/>
      <c r="O284" s="1000"/>
    </row>
    <row r="285" spans="4:15">
      <c r="D285" s="1000"/>
      <c r="E285" s="1000"/>
      <c r="F285" s="1000"/>
      <c r="G285" s="1000"/>
      <c r="H285" s="1000"/>
      <c r="I285" s="1000"/>
      <c r="J285" s="1000"/>
      <c r="K285" s="1000"/>
      <c r="L285" s="1000"/>
      <c r="M285" s="1000"/>
      <c r="N285" s="1000"/>
      <c r="O285" s="1000"/>
    </row>
    <row r="286" spans="4:15">
      <c r="D286" s="1000"/>
      <c r="E286" s="1000"/>
      <c r="F286" s="1000"/>
      <c r="G286" s="1000"/>
      <c r="H286" s="1000"/>
      <c r="I286" s="1000"/>
      <c r="J286" s="1000"/>
      <c r="K286" s="1000"/>
      <c r="L286" s="1000"/>
      <c r="M286" s="1000"/>
      <c r="N286" s="1000"/>
      <c r="O286" s="1000"/>
    </row>
    <row r="287" spans="4:15">
      <c r="D287" s="1000"/>
      <c r="E287" s="1000"/>
      <c r="F287" s="1000"/>
      <c r="G287" s="1000"/>
      <c r="H287" s="1000"/>
      <c r="I287" s="1000"/>
      <c r="J287" s="1000"/>
      <c r="K287" s="1000"/>
      <c r="L287" s="1000"/>
      <c r="M287" s="1000"/>
      <c r="N287" s="1000"/>
      <c r="O287" s="1000"/>
    </row>
    <row r="288" spans="4:15">
      <c r="D288" s="1000"/>
      <c r="E288" s="1000"/>
      <c r="F288" s="1000"/>
      <c r="G288" s="1000"/>
      <c r="H288" s="1000"/>
      <c r="I288" s="1000"/>
      <c r="J288" s="1000"/>
      <c r="K288" s="1000"/>
      <c r="L288" s="1000"/>
      <c r="M288" s="1000"/>
      <c r="N288" s="1000"/>
      <c r="O288" s="1000"/>
    </row>
    <row r="289" spans="4:15">
      <c r="D289" s="1000"/>
      <c r="E289" s="1000"/>
      <c r="F289" s="1000"/>
      <c r="G289" s="1000"/>
      <c r="H289" s="1000"/>
      <c r="I289" s="1000"/>
      <c r="J289" s="1000"/>
      <c r="K289" s="1000"/>
      <c r="L289" s="1000"/>
      <c r="M289" s="1000"/>
      <c r="N289" s="1000"/>
      <c r="O289" s="1000"/>
    </row>
    <row r="290" spans="4:15">
      <c r="D290" s="1000"/>
      <c r="E290" s="1000"/>
      <c r="F290" s="1000"/>
      <c r="G290" s="1000"/>
      <c r="H290" s="1000"/>
      <c r="I290" s="1000"/>
      <c r="J290" s="1000"/>
      <c r="K290" s="1000"/>
      <c r="L290" s="1000"/>
      <c r="M290" s="1000"/>
      <c r="N290" s="1000"/>
      <c r="O290" s="1000"/>
    </row>
    <row r="291" spans="4:15">
      <c r="D291" s="1000"/>
      <c r="E291" s="1000"/>
      <c r="F291" s="1000"/>
      <c r="G291" s="1000"/>
      <c r="H291" s="1000"/>
      <c r="I291" s="1000"/>
      <c r="J291" s="1000"/>
      <c r="K291" s="1000"/>
      <c r="L291" s="1000"/>
      <c r="M291" s="1000"/>
      <c r="N291" s="1000"/>
      <c r="O291" s="1000"/>
    </row>
    <row r="292" spans="4:15">
      <c r="D292" s="1000"/>
      <c r="E292" s="1000"/>
      <c r="F292" s="1000"/>
      <c r="G292" s="1000"/>
      <c r="H292" s="1000"/>
      <c r="I292" s="1000"/>
      <c r="J292" s="1000"/>
      <c r="K292" s="1000"/>
      <c r="L292" s="1000"/>
      <c r="M292" s="1000"/>
      <c r="N292" s="1000"/>
      <c r="O292" s="1000"/>
    </row>
    <row r="293" spans="4:15">
      <c r="D293" s="1000"/>
      <c r="E293" s="1000"/>
      <c r="F293" s="1000"/>
      <c r="G293" s="1000"/>
      <c r="H293" s="1000"/>
      <c r="I293" s="1000"/>
      <c r="J293" s="1000"/>
      <c r="K293" s="1000"/>
      <c r="L293" s="1000"/>
      <c r="M293" s="1000"/>
      <c r="N293" s="1000"/>
      <c r="O293" s="1000"/>
    </row>
    <row r="294" spans="4:15">
      <c r="D294" s="1000"/>
      <c r="E294" s="1000"/>
      <c r="F294" s="1000"/>
      <c r="G294" s="1000"/>
      <c r="H294" s="1000"/>
      <c r="I294" s="1000"/>
      <c r="J294" s="1000"/>
      <c r="K294" s="1000"/>
      <c r="L294" s="1000"/>
      <c r="M294" s="1000"/>
      <c r="N294" s="1000"/>
      <c r="O294" s="1000"/>
    </row>
    <row r="295" spans="4:15">
      <c r="D295" s="1000"/>
      <c r="E295" s="1000"/>
      <c r="F295" s="1000"/>
      <c r="G295" s="1000"/>
      <c r="H295" s="1000"/>
      <c r="I295" s="1000"/>
      <c r="J295" s="1000"/>
      <c r="K295" s="1000"/>
      <c r="L295" s="1000"/>
      <c r="M295" s="1000"/>
      <c r="N295" s="1000"/>
      <c r="O295" s="1000"/>
    </row>
    <row r="296" spans="4:15">
      <c r="D296" s="1000"/>
      <c r="E296" s="1000"/>
      <c r="F296" s="1000"/>
      <c r="G296" s="1000"/>
      <c r="H296" s="1000"/>
      <c r="I296" s="1000"/>
      <c r="J296" s="1000"/>
      <c r="K296" s="1000"/>
      <c r="L296" s="1000"/>
      <c r="M296" s="1000"/>
      <c r="N296" s="1000"/>
      <c r="O296" s="1000"/>
    </row>
    <row r="297" spans="4:15">
      <c r="D297" s="1000"/>
      <c r="E297" s="1000"/>
      <c r="F297" s="1000"/>
      <c r="G297" s="1000"/>
      <c r="H297" s="1000"/>
      <c r="I297" s="1000"/>
      <c r="J297" s="1000"/>
      <c r="K297" s="1000"/>
      <c r="L297" s="1000"/>
      <c r="M297" s="1000"/>
      <c r="N297" s="1000"/>
      <c r="O297" s="1000"/>
    </row>
    <row r="298" spans="4:15">
      <c r="D298" s="1000"/>
      <c r="E298" s="1000"/>
      <c r="F298" s="1000"/>
      <c r="G298" s="1000"/>
      <c r="H298" s="1000"/>
      <c r="I298" s="1000"/>
      <c r="J298" s="1000"/>
      <c r="K298" s="1000"/>
      <c r="L298" s="1000"/>
      <c r="M298" s="1000"/>
      <c r="N298" s="1000"/>
      <c r="O298" s="1000"/>
    </row>
    <row r="299" spans="4:15">
      <c r="D299" s="1000"/>
      <c r="E299" s="1000"/>
      <c r="F299" s="1000"/>
      <c r="G299" s="1000"/>
      <c r="H299" s="1000"/>
      <c r="I299" s="1000"/>
      <c r="J299" s="1000"/>
      <c r="K299" s="1000"/>
      <c r="L299" s="1000"/>
      <c r="M299" s="1000"/>
      <c r="N299" s="1000"/>
      <c r="O299" s="1000"/>
    </row>
    <row r="300" spans="4:15">
      <c r="D300" s="1000"/>
      <c r="E300" s="1000"/>
      <c r="F300" s="1000"/>
      <c r="G300" s="1000"/>
      <c r="H300" s="1000"/>
      <c r="I300" s="1000"/>
      <c r="J300" s="1000"/>
      <c r="K300" s="1000"/>
      <c r="L300" s="1000"/>
      <c r="M300" s="1000"/>
      <c r="N300" s="1000"/>
      <c r="O300" s="1000"/>
    </row>
    <row r="301" spans="4:15">
      <c r="D301" s="1000"/>
      <c r="E301" s="1000"/>
      <c r="F301" s="1000"/>
      <c r="G301" s="1000"/>
      <c r="H301" s="1000"/>
      <c r="I301" s="1000"/>
      <c r="J301" s="1000"/>
      <c r="K301" s="1000"/>
      <c r="L301" s="1000"/>
      <c r="M301" s="1000"/>
      <c r="N301" s="1000"/>
      <c r="O301" s="1000"/>
    </row>
    <row r="302" spans="4:15">
      <c r="D302" s="1000"/>
      <c r="E302" s="1000"/>
      <c r="F302" s="1000"/>
      <c r="G302" s="1000"/>
      <c r="H302" s="1000"/>
      <c r="I302" s="1000"/>
      <c r="J302" s="1000"/>
      <c r="K302" s="1000"/>
      <c r="L302" s="1000"/>
      <c r="M302" s="1000"/>
      <c r="N302" s="1000"/>
      <c r="O302" s="1000"/>
    </row>
    <row r="303" spans="4:15">
      <c r="D303" s="1000"/>
      <c r="E303" s="1000"/>
      <c r="F303" s="1000"/>
      <c r="G303" s="1000"/>
      <c r="H303" s="1000"/>
      <c r="I303" s="1000"/>
      <c r="J303" s="1000"/>
      <c r="K303" s="1000"/>
      <c r="L303" s="1000"/>
      <c r="M303" s="1000"/>
      <c r="N303" s="1000"/>
      <c r="O303" s="1000"/>
    </row>
    <row r="304" spans="4:15">
      <c r="D304" s="1000"/>
      <c r="E304" s="1000"/>
      <c r="F304" s="1000"/>
      <c r="G304" s="1000"/>
      <c r="H304" s="1000"/>
      <c r="I304" s="1000"/>
      <c r="J304" s="1000"/>
      <c r="K304" s="1000"/>
      <c r="L304" s="1000"/>
      <c r="M304" s="1000"/>
      <c r="N304" s="1000"/>
      <c r="O304" s="1000"/>
    </row>
    <row r="305" spans="4:15">
      <c r="D305" s="1000"/>
      <c r="E305" s="1000"/>
      <c r="F305" s="1000"/>
      <c r="G305" s="1000"/>
      <c r="H305" s="1000"/>
      <c r="I305" s="1000"/>
      <c r="J305" s="1000"/>
      <c r="K305" s="1000"/>
      <c r="L305" s="1000"/>
      <c r="M305" s="1000"/>
      <c r="N305" s="1000"/>
      <c r="O305" s="1000"/>
    </row>
    <row r="306" spans="4:15">
      <c r="D306" s="1000"/>
      <c r="E306" s="1000"/>
      <c r="F306" s="1000"/>
      <c r="G306" s="1000"/>
      <c r="H306" s="1000"/>
      <c r="I306" s="1000"/>
      <c r="J306" s="1000"/>
      <c r="K306" s="1000"/>
      <c r="L306" s="1000"/>
      <c r="M306" s="1000"/>
      <c r="N306" s="1000"/>
      <c r="O306" s="1000"/>
    </row>
    <row r="307" spans="4:15">
      <c r="D307" s="1000"/>
      <c r="E307" s="1000"/>
      <c r="F307" s="1000"/>
      <c r="G307" s="1000"/>
      <c r="H307" s="1000"/>
      <c r="I307" s="1000"/>
      <c r="J307" s="1000"/>
      <c r="K307" s="1000"/>
      <c r="L307" s="1000"/>
      <c r="M307" s="1000"/>
      <c r="N307" s="1000"/>
      <c r="O307" s="1000"/>
    </row>
    <row r="308" spans="4:15">
      <c r="D308" s="1000"/>
      <c r="E308" s="1000"/>
      <c r="F308" s="1000"/>
      <c r="G308" s="1000"/>
      <c r="H308" s="1000"/>
      <c r="I308" s="1000"/>
      <c r="J308" s="1000"/>
      <c r="K308" s="1000"/>
      <c r="L308" s="1000"/>
      <c r="M308" s="1000"/>
      <c r="N308" s="1000"/>
      <c r="O308" s="1000"/>
    </row>
    <row r="309" spans="4:15">
      <c r="D309" s="1000"/>
      <c r="E309" s="1000"/>
      <c r="F309" s="1000"/>
      <c r="G309" s="1000"/>
      <c r="H309" s="1000"/>
      <c r="I309" s="1000"/>
      <c r="J309" s="1000"/>
      <c r="K309" s="1000"/>
      <c r="L309" s="1000"/>
      <c r="M309" s="1000"/>
      <c r="N309" s="1000"/>
      <c r="O309" s="1000"/>
    </row>
    <row r="310" spans="4:15">
      <c r="D310" s="1000"/>
      <c r="E310" s="1000"/>
      <c r="F310" s="1000"/>
      <c r="G310" s="1000"/>
      <c r="H310" s="1000"/>
      <c r="I310" s="1000"/>
      <c r="J310" s="1000"/>
      <c r="K310" s="1000"/>
      <c r="L310" s="1000"/>
      <c r="M310" s="1000"/>
      <c r="N310" s="1000"/>
      <c r="O310" s="1000"/>
    </row>
    <row r="311" spans="4:15">
      <c r="D311" s="1000"/>
      <c r="E311" s="1000"/>
      <c r="F311" s="1000"/>
      <c r="G311" s="1000"/>
      <c r="H311" s="1000"/>
      <c r="I311" s="1000"/>
      <c r="J311" s="1000"/>
      <c r="K311" s="1000"/>
      <c r="L311" s="1000"/>
      <c r="M311" s="1000"/>
      <c r="N311" s="1000"/>
      <c r="O311" s="1000"/>
    </row>
    <row r="312" spans="4:15">
      <c r="D312" s="1000"/>
      <c r="E312" s="1000"/>
      <c r="F312" s="1000"/>
      <c r="G312" s="1000"/>
      <c r="H312" s="1000"/>
      <c r="I312" s="1000"/>
      <c r="J312" s="1000"/>
      <c r="K312" s="1000"/>
      <c r="L312" s="1000"/>
      <c r="M312" s="1000"/>
      <c r="N312" s="1000"/>
      <c r="O312" s="1000"/>
    </row>
    <row r="313" spans="4:15">
      <c r="D313" s="1000"/>
      <c r="E313" s="1000"/>
      <c r="F313" s="1000"/>
      <c r="G313" s="1000"/>
      <c r="H313" s="1000"/>
      <c r="I313" s="1000"/>
      <c r="J313" s="1000"/>
      <c r="K313" s="1000"/>
      <c r="L313" s="1000"/>
      <c r="M313" s="1000"/>
      <c r="N313" s="1000"/>
      <c r="O313" s="1000"/>
    </row>
    <row r="314" spans="4:15">
      <c r="D314" s="1000"/>
      <c r="E314" s="1000"/>
      <c r="F314" s="1000"/>
      <c r="G314" s="1000"/>
      <c r="H314" s="1000"/>
      <c r="I314" s="1000"/>
      <c r="J314" s="1000"/>
      <c r="K314" s="1000"/>
      <c r="L314" s="1000"/>
      <c r="M314" s="1000"/>
      <c r="N314" s="1000"/>
      <c r="O314" s="1000"/>
    </row>
    <row r="315" spans="4:15">
      <c r="D315" s="1000"/>
      <c r="E315" s="1000"/>
      <c r="F315" s="1000"/>
      <c r="G315" s="1000"/>
      <c r="H315" s="1000"/>
      <c r="I315" s="1000"/>
      <c r="J315" s="1000"/>
      <c r="K315" s="1000"/>
      <c r="L315" s="1000"/>
      <c r="M315" s="1000"/>
      <c r="N315" s="1000"/>
      <c r="O315" s="1000"/>
    </row>
    <row r="316" spans="4:15">
      <c r="D316" s="1000"/>
      <c r="E316" s="1000"/>
      <c r="F316" s="1000"/>
      <c r="G316" s="1000"/>
      <c r="H316" s="1000"/>
      <c r="I316" s="1000"/>
      <c r="J316" s="1000"/>
      <c r="K316" s="1000"/>
      <c r="L316" s="1000"/>
      <c r="M316" s="1000"/>
      <c r="N316" s="1000"/>
      <c r="O316" s="1000"/>
    </row>
    <row r="317" spans="4:15">
      <c r="D317" s="1000"/>
      <c r="E317" s="1000"/>
      <c r="F317" s="1000"/>
      <c r="G317" s="1000"/>
      <c r="H317" s="1000"/>
      <c r="I317" s="1000"/>
      <c r="J317" s="1000"/>
      <c r="K317" s="1000"/>
      <c r="L317" s="1000"/>
      <c r="M317" s="1000"/>
      <c r="N317" s="1000"/>
      <c r="O317" s="1000"/>
    </row>
    <row r="318" spans="4:15">
      <c r="D318" s="1000"/>
      <c r="E318" s="1000"/>
      <c r="F318" s="1000"/>
      <c r="G318" s="1000"/>
      <c r="H318" s="1000"/>
      <c r="I318" s="1000"/>
      <c r="J318" s="1000"/>
      <c r="K318" s="1000"/>
      <c r="L318" s="1000"/>
      <c r="M318" s="1000"/>
      <c r="N318" s="1000"/>
      <c r="O318" s="1000"/>
    </row>
    <row r="319" spans="4:15">
      <c r="D319" s="1000"/>
      <c r="E319" s="1000"/>
      <c r="F319" s="1000"/>
      <c r="G319" s="1000"/>
      <c r="H319" s="1000"/>
      <c r="I319" s="1000"/>
      <c r="J319" s="1000"/>
      <c r="K319" s="1000"/>
      <c r="L319" s="1000"/>
      <c r="M319" s="1000"/>
      <c r="N319" s="1000"/>
      <c r="O319" s="1000"/>
    </row>
    <row r="320" spans="4:15">
      <c r="D320" s="1000"/>
      <c r="E320" s="1000"/>
      <c r="F320" s="1000"/>
      <c r="G320" s="1000"/>
      <c r="H320" s="1000"/>
      <c r="I320" s="1000"/>
      <c r="J320" s="1000"/>
      <c r="K320" s="1000"/>
      <c r="L320" s="1000"/>
      <c r="M320" s="1000"/>
      <c r="N320" s="1000"/>
      <c r="O320" s="1000"/>
    </row>
    <row r="321" spans="4:15">
      <c r="D321" s="1000"/>
      <c r="E321" s="1000"/>
      <c r="F321" s="1000"/>
      <c r="G321" s="1000"/>
      <c r="H321" s="1000"/>
      <c r="I321" s="1000"/>
      <c r="J321" s="1000"/>
      <c r="K321" s="1000"/>
      <c r="L321" s="1000"/>
      <c r="M321" s="1000"/>
      <c r="N321" s="1000"/>
      <c r="O321" s="1000"/>
    </row>
    <row r="322" spans="4:15">
      <c r="D322" s="1000"/>
      <c r="E322" s="1000"/>
      <c r="F322" s="1000"/>
      <c r="G322" s="1000"/>
      <c r="H322" s="1000"/>
      <c r="I322" s="1000"/>
      <c r="J322" s="1000"/>
      <c r="K322" s="1000"/>
      <c r="L322" s="1000"/>
      <c r="M322" s="1000"/>
      <c r="N322" s="1000"/>
      <c r="O322" s="1000"/>
    </row>
    <row r="323" spans="4:15">
      <c r="D323" s="1000"/>
      <c r="E323" s="1000"/>
      <c r="F323" s="1000"/>
      <c r="G323" s="1000"/>
      <c r="H323" s="1000"/>
      <c r="I323" s="1000"/>
      <c r="J323" s="1000"/>
      <c r="K323" s="1000"/>
      <c r="L323" s="1000"/>
      <c r="M323" s="1000"/>
      <c r="N323" s="1000"/>
      <c r="O323" s="1000"/>
    </row>
    <row r="324" spans="4:15">
      <c r="D324" s="1000"/>
      <c r="E324" s="1000"/>
      <c r="F324" s="1000"/>
      <c r="G324" s="1000"/>
      <c r="H324" s="1000"/>
      <c r="I324" s="1000"/>
      <c r="J324" s="1000"/>
      <c r="K324" s="1000"/>
      <c r="L324" s="1000"/>
      <c r="M324" s="1000"/>
      <c r="N324" s="1000"/>
      <c r="O324" s="1000"/>
    </row>
    <row r="325" spans="4:15">
      <c r="D325" s="1000"/>
      <c r="E325" s="1000"/>
      <c r="F325" s="1000"/>
      <c r="G325" s="1000"/>
      <c r="H325" s="1000"/>
      <c r="I325" s="1000"/>
      <c r="J325" s="1000"/>
      <c r="K325" s="1000"/>
      <c r="L325" s="1000"/>
      <c r="M325" s="1000"/>
      <c r="N325" s="1000"/>
      <c r="O325" s="1000"/>
    </row>
    <row r="326" spans="4:15">
      <c r="D326" s="1000"/>
      <c r="E326" s="1000"/>
      <c r="F326" s="1000"/>
      <c r="G326" s="1000"/>
      <c r="H326" s="1000"/>
      <c r="I326" s="1000"/>
      <c r="J326" s="1000"/>
      <c r="K326" s="1000"/>
      <c r="L326" s="1000"/>
      <c r="M326" s="1000"/>
      <c r="N326" s="1000"/>
      <c r="O326" s="1000"/>
    </row>
    <row r="327" spans="4:15">
      <c r="D327" s="1000"/>
      <c r="E327" s="1000"/>
      <c r="F327" s="1000"/>
      <c r="G327" s="1000"/>
      <c r="H327" s="1000"/>
      <c r="I327" s="1000"/>
      <c r="J327" s="1000"/>
      <c r="K327" s="1000"/>
      <c r="L327" s="1000"/>
      <c r="M327" s="1000"/>
      <c r="N327" s="1000"/>
      <c r="O327" s="1000"/>
    </row>
    <row r="328" spans="4:15">
      <c r="D328" s="1000"/>
      <c r="E328" s="1000"/>
      <c r="F328" s="1000"/>
      <c r="G328" s="1000"/>
      <c r="H328" s="1000"/>
      <c r="I328" s="1000"/>
      <c r="J328" s="1000"/>
      <c r="K328" s="1000"/>
      <c r="L328" s="1000"/>
      <c r="M328" s="1000"/>
      <c r="N328" s="1000"/>
      <c r="O328" s="1000"/>
    </row>
    <row r="329" spans="4:15">
      <c r="D329" s="1000"/>
      <c r="E329" s="1000"/>
      <c r="F329" s="1000"/>
      <c r="G329" s="1000"/>
      <c r="H329" s="1000"/>
      <c r="I329" s="1000"/>
      <c r="J329" s="1000"/>
      <c r="K329" s="1000"/>
      <c r="L329" s="1000"/>
      <c r="M329" s="1000"/>
      <c r="N329" s="1000"/>
      <c r="O329" s="1000"/>
    </row>
    <row r="330" spans="4:15">
      <c r="D330" s="1000"/>
      <c r="E330" s="1000"/>
      <c r="F330" s="1000"/>
      <c r="G330" s="1000"/>
      <c r="H330" s="1000"/>
      <c r="I330" s="1000"/>
      <c r="J330" s="1000"/>
      <c r="K330" s="1000"/>
      <c r="L330" s="1000"/>
      <c r="M330" s="1000"/>
      <c r="N330" s="1000"/>
      <c r="O330" s="1000"/>
    </row>
    <row r="331" spans="4:15">
      <c r="D331" s="1000"/>
      <c r="E331" s="1000"/>
      <c r="F331" s="1000"/>
      <c r="G331" s="1000"/>
      <c r="H331" s="1000"/>
      <c r="I331" s="1000"/>
      <c r="J331" s="1000"/>
      <c r="K331" s="1000"/>
      <c r="L331" s="1000"/>
      <c r="M331" s="1000"/>
      <c r="N331" s="1000"/>
      <c r="O331" s="1000"/>
    </row>
    <row r="332" spans="4:15">
      <c r="D332" s="1000"/>
      <c r="E332" s="1000"/>
      <c r="F332" s="1000"/>
      <c r="G332" s="1000"/>
      <c r="H332" s="1000"/>
      <c r="I332" s="1000"/>
      <c r="J332" s="1000"/>
      <c r="K332" s="1000"/>
      <c r="L332" s="1000"/>
      <c r="M332" s="1000"/>
      <c r="N332" s="1000"/>
      <c r="O332" s="1000"/>
    </row>
    <row r="333" spans="4:15">
      <c r="D333" s="1000"/>
      <c r="E333" s="1000"/>
      <c r="F333" s="1000"/>
      <c r="G333" s="1000"/>
      <c r="H333" s="1000"/>
      <c r="I333" s="1000"/>
      <c r="J333" s="1000"/>
      <c r="K333" s="1000"/>
      <c r="L333" s="1000"/>
      <c r="M333" s="1000"/>
      <c r="N333" s="1000"/>
      <c r="O333" s="1000"/>
    </row>
    <row r="334" spans="4:15">
      <c r="D334" s="1000"/>
      <c r="E334" s="1000"/>
      <c r="F334" s="1000"/>
      <c r="G334" s="1000"/>
      <c r="H334" s="1000"/>
      <c r="I334" s="1000"/>
      <c r="J334" s="1000"/>
      <c r="K334" s="1000"/>
      <c r="L334" s="1000"/>
      <c r="M334" s="1000"/>
      <c r="N334" s="1000"/>
      <c r="O334" s="1000"/>
    </row>
    <row r="335" spans="4:15">
      <c r="D335" s="1000"/>
      <c r="E335" s="1000"/>
      <c r="F335" s="1000"/>
      <c r="G335" s="1000"/>
      <c r="H335" s="1000"/>
      <c r="I335" s="1000"/>
      <c r="J335" s="1000"/>
      <c r="K335" s="1000"/>
      <c r="L335" s="1000"/>
      <c r="M335" s="1000"/>
      <c r="N335" s="1000"/>
      <c r="O335" s="1000"/>
    </row>
    <row r="336" spans="4:15">
      <c r="D336" s="1000"/>
      <c r="E336" s="1000"/>
      <c r="F336" s="1000"/>
      <c r="G336" s="1000"/>
      <c r="H336" s="1000"/>
      <c r="I336" s="1000"/>
      <c r="J336" s="1000"/>
      <c r="K336" s="1000"/>
      <c r="L336" s="1000"/>
      <c r="M336" s="1000"/>
      <c r="N336" s="1000"/>
      <c r="O336" s="1000"/>
    </row>
    <row r="337" spans="4:15">
      <c r="D337" s="1000"/>
      <c r="E337" s="1000"/>
      <c r="F337" s="1000"/>
      <c r="G337" s="1000"/>
      <c r="H337" s="1000"/>
      <c r="I337" s="1000"/>
      <c r="J337" s="1000"/>
      <c r="K337" s="1000"/>
      <c r="L337" s="1000"/>
      <c r="M337" s="1000"/>
      <c r="N337" s="1000"/>
      <c r="O337" s="1000"/>
    </row>
    <row r="338" spans="4:15">
      <c r="D338" s="1000"/>
      <c r="E338" s="1000"/>
      <c r="F338" s="1000"/>
      <c r="G338" s="1000"/>
      <c r="H338" s="1000"/>
      <c r="I338" s="1000"/>
      <c r="J338" s="1000"/>
      <c r="K338" s="1000"/>
      <c r="L338" s="1000"/>
      <c r="M338" s="1000"/>
      <c r="N338" s="1000"/>
      <c r="O338" s="1000"/>
    </row>
    <row r="339" spans="4:15">
      <c r="D339" s="1000"/>
      <c r="E339" s="1000"/>
      <c r="F339" s="1000"/>
      <c r="G339" s="1000"/>
      <c r="H339" s="1000"/>
      <c r="I339" s="1000"/>
      <c r="J339" s="1000"/>
      <c r="K339" s="1000"/>
      <c r="L339" s="1000"/>
      <c r="M339" s="1000"/>
      <c r="N339" s="1000"/>
      <c r="O339" s="1000"/>
    </row>
    <row r="340" spans="4:15">
      <c r="D340" s="1000"/>
      <c r="E340" s="1000"/>
      <c r="F340" s="1000"/>
      <c r="G340" s="1000"/>
      <c r="H340" s="1000"/>
      <c r="I340" s="1000"/>
      <c r="J340" s="1000"/>
      <c r="K340" s="1000"/>
      <c r="L340" s="1000"/>
      <c r="M340" s="1000"/>
      <c r="N340" s="1000"/>
      <c r="O340" s="1000"/>
    </row>
    <row r="341" spans="4:15">
      <c r="D341" s="1000"/>
      <c r="E341" s="1000"/>
      <c r="F341" s="1000"/>
      <c r="G341" s="1000"/>
      <c r="H341" s="1000"/>
      <c r="I341" s="1000"/>
      <c r="J341" s="1000"/>
      <c r="K341" s="1000"/>
      <c r="L341" s="1000"/>
      <c r="M341" s="1000"/>
      <c r="N341" s="1000"/>
      <c r="O341" s="1000"/>
    </row>
    <row r="342" spans="4:15">
      <c r="D342" s="1000"/>
      <c r="E342" s="1000"/>
      <c r="F342" s="1000"/>
      <c r="G342" s="1000"/>
      <c r="H342" s="1000"/>
      <c r="I342" s="1000"/>
      <c r="J342" s="1000"/>
      <c r="K342" s="1000"/>
      <c r="L342" s="1000"/>
      <c r="M342" s="1000"/>
      <c r="N342" s="1000"/>
      <c r="O342" s="1000"/>
    </row>
    <row r="343" spans="4:15">
      <c r="D343" s="1000"/>
      <c r="E343" s="1000"/>
      <c r="F343" s="1000"/>
      <c r="G343" s="1000"/>
      <c r="H343" s="1000"/>
      <c r="I343" s="1000"/>
      <c r="J343" s="1000"/>
      <c r="K343" s="1000"/>
      <c r="L343" s="1000"/>
      <c r="M343" s="1000"/>
      <c r="N343" s="1000"/>
      <c r="O343" s="1000"/>
    </row>
    <row r="344" spans="4:15">
      <c r="D344" s="1000"/>
      <c r="E344" s="1000"/>
      <c r="F344" s="1000"/>
      <c r="G344" s="1000"/>
      <c r="H344" s="1000"/>
      <c r="I344" s="1000"/>
      <c r="J344" s="1000"/>
      <c r="K344" s="1000"/>
      <c r="L344" s="1000"/>
      <c r="M344" s="1000"/>
      <c r="N344" s="1000"/>
      <c r="O344" s="1000"/>
    </row>
    <row r="345" spans="4:15">
      <c r="D345" s="1000"/>
      <c r="E345" s="1000"/>
      <c r="F345" s="1000"/>
      <c r="G345" s="1000"/>
      <c r="H345" s="1000"/>
      <c r="I345" s="1000"/>
      <c r="J345" s="1000"/>
      <c r="K345" s="1000"/>
      <c r="L345" s="1000"/>
      <c r="M345" s="1000"/>
      <c r="N345" s="1000"/>
      <c r="O345" s="1000"/>
    </row>
    <row r="346" spans="4:15">
      <c r="D346" s="1000"/>
      <c r="E346" s="1000"/>
      <c r="F346" s="1000"/>
      <c r="G346" s="1000"/>
      <c r="H346" s="1000"/>
      <c r="I346" s="1000"/>
      <c r="J346" s="1000"/>
      <c r="K346" s="1000"/>
      <c r="L346" s="1000"/>
      <c r="M346" s="1000"/>
      <c r="N346" s="1000"/>
      <c r="O346" s="1000"/>
    </row>
    <row r="347" spans="4:15">
      <c r="D347" s="1000"/>
      <c r="E347" s="1000"/>
      <c r="F347" s="1000"/>
      <c r="G347" s="1000"/>
      <c r="H347" s="1000"/>
      <c r="I347" s="1000"/>
      <c r="J347" s="1000"/>
      <c r="K347" s="1000"/>
      <c r="L347" s="1000"/>
      <c r="M347" s="1000"/>
      <c r="N347" s="1000"/>
      <c r="O347" s="1000"/>
    </row>
    <row r="348" spans="4:15">
      <c r="D348" s="1000"/>
      <c r="E348" s="1000"/>
      <c r="F348" s="1000"/>
      <c r="G348" s="1000"/>
      <c r="H348" s="1000"/>
      <c r="I348" s="1000"/>
      <c r="J348" s="1000"/>
      <c r="K348" s="1000"/>
      <c r="L348" s="1000"/>
      <c r="M348" s="1000"/>
      <c r="N348" s="1000"/>
      <c r="O348" s="1000"/>
    </row>
    <row r="349" spans="4:15">
      <c r="D349" s="1000"/>
      <c r="E349" s="1000"/>
      <c r="F349" s="1000"/>
      <c r="G349" s="1000"/>
      <c r="H349" s="1000"/>
      <c r="I349" s="1000"/>
      <c r="J349" s="1000"/>
      <c r="K349" s="1000"/>
      <c r="L349" s="1000"/>
      <c r="M349" s="1000"/>
      <c r="N349" s="1000"/>
      <c r="O349" s="1000"/>
    </row>
    <row r="350" spans="4:15">
      <c r="D350" s="1000"/>
      <c r="E350" s="1000"/>
      <c r="F350" s="1000"/>
      <c r="G350" s="1000"/>
      <c r="H350" s="1000"/>
      <c r="I350" s="1000"/>
      <c r="J350" s="1000"/>
      <c r="K350" s="1000"/>
      <c r="L350" s="1000"/>
      <c r="M350" s="1000"/>
      <c r="N350" s="1000"/>
      <c r="O350" s="1000"/>
    </row>
    <row r="351" spans="4:15">
      <c r="D351" s="1000"/>
      <c r="E351" s="1000"/>
      <c r="F351" s="1000"/>
      <c r="G351" s="1000"/>
      <c r="H351" s="1000"/>
      <c r="I351" s="1000"/>
      <c r="J351" s="1000"/>
      <c r="K351" s="1000"/>
      <c r="L351" s="1000"/>
      <c r="M351" s="1000"/>
      <c r="N351" s="1000"/>
      <c r="O351" s="1000"/>
    </row>
    <row r="352" spans="4:15">
      <c r="D352" s="1000"/>
      <c r="E352" s="1000"/>
      <c r="F352" s="1000"/>
      <c r="G352" s="1000"/>
      <c r="H352" s="1000"/>
      <c r="I352" s="1000"/>
      <c r="J352" s="1000"/>
      <c r="K352" s="1000"/>
      <c r="L352" s="1000"/>
      <c r="M352" s="1000"/>
      <c r="N352" s="1000"/>
      <c r="O352" s="1000"/>
    </row>
    <row r="353" spans="4:15">
      <c r="D353" s="1000"/>
      <c r="E353" s="1000"/>
      <c r="F353" s="1000"/>
      <c r="G353" s="1000"/>
      <c r="H353" s="1000"/>
      <c r="I353" s="1000"/>
      <c r="J353" s="1000"/>
      <c r="K353" s="1000"/>
      <c r="L353" s="1000"/>
      <c r="M353" s="1000"/>
      <c r="N353" s="1000"/>
      <c r="O353" s="1000"/>
    </row>
    <row r="354" spans="4:15">
      <c r="D354" s="1000"/>
      <c r="E354" s="1000"/>
      <c r="F354" s="1000"/>
      <c r="G354" s="1000"/>
      <c r="H354" s="1000"/>
      <c r="I354" s="1000"/>
      <c r="J354" s="1000"/>
      <c r="K354" s="1000"/>
      <c r="L354" s="1000"/>
      <c r="M354" s="1000"/>
      <c r="N354" s="1000"/>
      <c r="O354" s="1000"/>
    </row>
    <row r="355" spans="4:15">
      <c r="D355" s="1000"/>
      <c r="E355" s="1000"/>
      <c r="F355" s="1000"/>
      <c r="G355" s="1000"/>
      <c r="H355" s="1000"/>
      <c r="I355" s="1000"/>
      <c r="J355" s="1000"/>
      <c r="K355" s="1000"/>
      <c r="L355" s="1000"/>
      <c r="M355" s="1000"/>
      <c r="N355" s="1000"/>
      <c r="O355" s="1000"/>
    </row>
    <row r="356" spans="4:15">
      <c r="D356" s="1000"/>
      <c r="E356" s="1000"/>
      <c r="F356" s="1000"/>
      <c r="G356" s="1000"/>
      <c r="H356" s="1000"/>
      <c r="I356" s="1000"/>
      <c r="J356" s="1000"/>
      <c r="K356" s="1000"/>
      <c r="L356" s="1000"/>
      <c r="M356" s="1000"/>
      <c r="N356" s="1000"/>
      <c r="O356" s="1000"/>
    </row>
    <row r="357" spans="4:15">
      <c r="D357" s="1000"/>
      <c r="E357" s="1000"/>
      <c r="F357" s="1000"/>
      <c r="G357" s="1000"/>
      <c r="H357" s="1000"/>
      <c r="I357" s="1000"/>
      <c r="J357" s="1000"/>
      <c r="K357" s="1000"/>
      <c r="L357" s="1000"/>
      <c r="M357" s="1000"/>
      <c r="N357" s="1000"/>
      <c r="O357" s="1000"/>
    </row>
    <row r="358" spans="4:15">
      <c r="D358" s="1000"/>
      <c r="E358" s="1000"/>
      <c r="F358" s="1000"/>
      <c r="G358" s="1000"/>
      <c r="H358" s="1000"/>
      <c r="I358" s="1000"/>
      <c r="J358" s="1000"/>
      <c r="K358" s="1000"/>
      <c r="L358" s="1000"/>
      <c r="M358" s="1000"/>
      <c r="N358" s="1000"/>
      <c r="O358" s="1000"/>
    </row>
    <row r="359" spans="4:15">
      <c r="D359" s="1000"/>
      <c r="E359" s="1000"/>
      <c r="F359" s="1000"/>
      <c r="G359" s="1000"/>
      <c r="H359" s="1000"/>
      <c r="I359" s="1000"/>
      <c r="J359" s="1000"/>
      <c r="K359" s="1000"/>
      <c r="L359" s="1000"/>
      <c r="M359" s="1000"/>
      <c r="N359" s="1000"/>
      <c r="O359" s="1000"/>
    </row>
    <row r="360" spans="4:15">
      <c r="D360" s="1000"/>
      <c r="E360" s="1000"/>
      <c r="F360" s="1000"/>
      <c r="G360" s="1000"/>
      <c r="H360" s="1000"/>
      <c r="I360" s="1000"/>
      <c r="J360" s="1000"/>
      <c r="K360" s="1000"/>
      <c r="L360" s="1000"/>
      <c r="M360" s="1000"/>
      <c r="N360" s="1000"/>
      <c r="O360" s="1000"/>
    </row>
    <row r="361" spans="4:15">
      <c r="D361" s="1000"/>
      <c r="E361" s="1000"/>
      <c r="F361" s="1000"/>
      <c r="G361" s="1000"/>
      <c r="H361" s="1000"/>
      <c r="I361" s="1000"/>
      <c r="J361" s="1000"/>
      <c r="K361" s="1000"/>
      <c r="L361" s="1000"/>
      <c r="M361" s="1000"/>
      <c r="N361" s="1000"/>
      <c r="O361" s="1000"/>
    </row>
    <row r="362" spans="4:15">
      <c r="D362" s="1000"/>
      <c r="E362" s="1000"/>
      <c r="F362" s="1000"/>
      <c r="G362" s="1000"/>
      <c r="H362" s="1000"/>
      <c r="I362" s="1000"/>
      <c r="J362" s="1000"/>
      <c r="K362" s="1000"/>
      <c r="L362" s="1000"/>
      <c r="M362" s="1000"/>
      <c r="N362" s="1000"/>
      <c r="O362" s="1000"/>
    </row>
    <row r="363" spans="4:15">
      <c r="D363" s="1000"/>
      <c r="E363" s="1000"/>
      <c r="F363" s="1000"/>
      <c r="G363" s="1000"/>
      <c r="H363" s="1000"/>
      <c r="I363" s="1000"/>
      <c r="J363" s="1000"/>
      <c r="K363" s="1000"/>
      <c r="L363" s="1000"/>
      <c r="M363" s="1000"/>
      <c r="N363" s="1000"/>
      <c r="O363" s="1000"/>
    </row>
    <row r="364" spans="4:15">
      <c r="D364" s="1000"/>
      <c r="E364" s="1000"/>
      <c r="F364" s="1000"/>
      <c r="G364" s="1000"/>
      <c r="H364" s="1000"/>
      <c r="I364" s="1000"/>
      <c r="J364" s="1000"/>
      <c r="K364" s="1000"/>
      <c r="L364" s="1000"/>
      <c r="M364" s="1000"/>
      <c r="N364" s="1000"/>
      <c r="O364" s="1000"/>
    </row>
    <row r="365" spans="4:15">
      <c r="D365" s="1000"/>
      <c r="E365" s="1000"/>
      <c r="F365" s="1000"/>
      <c r="G365" s="1000"/>
      <c r="H365" s="1000"/>
      <c r="I365" s="1000"/>
      <c r="J365" s="1000"/>
      <c r="K365" s="1000"/>
      <c r="L365" s="1000"/>
      <c r="M365" s="1000"/>
      <c r="N365" s="1000"/>
      <c r="O365" s="1000"/>
    </row>
    <row r="366" spans="4:15">
      <c r="D366" s="1000"/>
      <c r="E366" s="1000"/>
      <c r="F366" s="1000"/>
      <c r="G366" s="1000"/>
      <c r="H366" s="1000"/>
      <c r="I366" s="1000"/>
      <c r="J366" s="1000"/>
      <c r="K366" s="1000"/>
      <c r="L366" s="1000"/>
      <c r="M366" s="1000"/>
      <c r="N366" s="1000"/>
      <c r="O366" s="1000"/>
    </row>
    <row r="367" spans="4:15">
      <c r="D367" s="1000"/>
      <c r="E367" s="1000"/>
      <c r="F367" s="1000"/>
      <c r="G367" s="1000"/>
      <c r="H367" s="1000"/>
      <c r="I367" s="1000"/>
      <c r="J367" s="1000"/>
      <c r="K367" s="1000"/>
      <c r="L367" s="1000"/>
      <c r="M367" s="1000"/>
      <c r="N367" s="1000"/>
      <c r="O367" s="1000"/>
    </row>
    <row r="368" spans="4:15">
      <c r="D368" s="1000"/>
      <c r="E368" s="1000"/>
      <c r="F368" s="1000"/>
      <c r="G368" s="1000"/>
      <c r="H368" s="1000"/>
      <c r="I368" s="1000"/>
      <c r="J368" s="1000"/>
      <c r="K368" s="1000"/>
      <c r="L368" s="1000"/>
      <c r="M368" s="1000"/>
      <c r="N368" s="1000"/>
      <c r="O368" s="1000"/>
    </row>
    <row r="369" spans="4:15">
      <c r="D369" s="1000"/>
      <c r="E369" s="1000"/>
      <c r="F369" s="1000"/>
      <c r="G369" s="1000"/>
      <c r="H369" s="1000"/>
      <c r="I369" s="1000"/>
      <c r="J369" s="1000"/>
      <c r="K369" s="1000"/>
      <c r="L369" s="1000"/>
      <c r="M369" s="1000"/>
      <c r="N369" s="1000"/>
      <c r="O369" s="1000"/>
    </row>
    <row r="370" spans="4:15">
      <c r="D370" s="1000"/>
      <c r="E370" s="1000"/>
      <c r="F370" s="1000"/>
      <c r="G370" s="1000"/>
      <c r="H370" s="1000"/>
      <c r="I370" s="1000"/>
      <c r="J370" s="1000"/>
      <c r="K370" s="1000"/>
      <c r="L370" s="1000"/>
      <c r="M370" s="1000"/>
      <c r="N370" s="1000"/>
      <c r="O370" s="1000"/>
    </row>
    <row r="371" spans="4:15">
      <c r="D371" s="1000"/>
      <c r="E371" s="1000"/>
      <c r="F371" s="1000"/>
      <c r="G371" s="1000"/>
      <c r="H371" s="1000"/>
      <c r="I371" s="1000"/>
      <c r="J371" s="1000"/>
      <c r="K371" s="1000"/>
      <c r="L371" s="1000"/>
      <c r="M371" s="1000"/>
      <c r="N371" s="1000"/>
      <c r="O371" s="1000"/>
    </row>
    <row r="372" spans="4:15">
      <c r="D372" s="1000"/>
      <c r="E372" s="1000"/>
      <c r="F372" s="1000"/>
      <c r="G372" s="1000"/>
      <c r="H372" s="1000"/>
      <c r="I372" s="1000"/>
      <c r="J372" s="1000"/>
      <c r="K372" s="1000"/>
      <c r="L372" s="1000"/>
      <c r="M372" s="1000"/>
      <c r="N372" s="1000"/>
      <c r="O372" s="1000"/>
    </row>
    <row r="373" spans="4:15">
      <c r="D373" s="1000"/>
      <c r="E373" s="1000"/>
      <c r="F373" s="1000"/>
      <c r="G373" s="1000"/>
      <c r="H373" s="1000"/>
      <c r="I373" s="1000"/>
      <c r="J373" s="1000"/>
      <c r="K373" s="1000"/>
      <c r="L373" s="1000"/>
      <c r="M373" s="1000"/>
      <c r="N373" s="1000"/>
      <c r="O373" s="1000"/>
    </row>
    <row r="374" spans="4:15">
      <c r="D374" s="1000"/>
      <c r="E374" s="1000"/>
      <c r="F374" s="1000"/>
      <c r="G374" s="1000"/>
      <c r="H374" s="1000"/>
      <c r="I374" s="1000"/>
      <c r="J374" s="1000"/>
      <c r="K374" s="1000"/>
      <c r="L374" s="1000"/>
      <c r="M374" s="1000"/>
      <c r="N374" s="1000"/>
      <c r="O374" s="1000"/>
    </row>
    <row r="375" spans="4:15">
      <c r="D375" s="1000"/>
      <c r="E375" s="1000"/>
      <c r="F375" s="1000"/>
      <c r="G375" s="1000"/>
      <c r="H375" s="1000"/>
      <c r="I375" s="1000"/>
      <c r="J375" s="1000"/>
      <c r="K375" s="1000"/>
      <c r="L375" s="1000"/>
      <c r="M375" s="1000"/>
      <c r="N375" s="1000"/>
      <c r="O375" s="1000"/>
    </row>
    <row r="376" spans="4:15">
      <c r="D376" s="1000"/>
      <c r="E376" s="1000"/>
      <c r="F376" s="1000"/>
      <c r="G376" s="1000"/>
      <c r="H376" s="1000"/>
      <c r="I376" s="1000"/>
      <c r="J376" s="1000"/>
      <c r="K376" s="1000"/>
      <c r="L376" s="1000"/>
      <c r="M376" s="1000"/>
      <c r="N376" s="1000"/>
      <c r="O376" s="1000"/>
    </row>
    <row r="377" spans="4:15">
      <c r="D377" s="1000"/>
      <c r="E377" s="1000"/>
      <c r="F377" s="1000"/>
      <c r="G377" s="1000"/>
      <c r="H377" s="1000"/>
      <c r="I377" s="1000"/>
      <c r="J377" s="1000"/>
      <c r="K377" s="1000"/>
      <c r="L377" s="1000"/>
      <c r="M377" s="1000"/>
      <c r="N377" s="1000"/>
      <c r="O377" s="1000"/>
    </row>
    <row r="378" spans="4:15">
      <c r="D378" s="1000"/>
      <c r="E378" s="1000"/>
      <c r="F378" s="1000"/>
      <c r="G378" s="1000"/>
      <c r="H378" s="1000"/>
      <c r="I378" s="1000"/>
      <c r="J378" s="1000"/>
      <c r="K378" s="1000"/>
      <c r="L378" s="1000"/>
      <c r="M378" s="1000"/>
      <c r="N378" s="1000"/>
      <c r="O378" s="1000"/>
    </row>
    <row r="379" spans="4:15">
      <c r="D379" s="1000"/>
      <c r="E379" s="1000"/>
      <c r="F379" s="1000"/>
      <c r="G379" s="1000"/>
      <c r="H379" s="1000"/>
      <c r="I379" s="1000"/>
      <c r="J379" s="1000"/>
      <c r="K379" s="1000"/>
      <c r="L379" s="1000"/>
      <c r="M379" s="1000"/>
      <c r="N379" s="1000"/>
      <c r="O379" s="1000"/>
    </row>
    <row r="380" spans="4:15">
      <c r="D380" s="1000"/>
      <c r="E380" s="1000"/>
      <c r="F380" s="1000"/>
      <c r="G380" s="1000"/>
      <c r="H380" s="1000"/>
      <c r="I380" s="1000"/>
      <c r="J380" s="1000"/>
      <c r="K380" s="1000"/>
      <c r="L380" s="1000"/>
      <c r="M380" s="1000"/>
      <c r="N380" s="1000"/>
      <c r="O380" s="1000"/>
    </row>
    <row r="381" spans="4:15">
      <c r="D381" s="1000"/>
      <c r="E381" s="1000"/>
      <c r="F381" s="1000"/>
      <c r="G381" s="1000"/>
      <c r="H381" s="1000"/>
      <c r="I381" s="1000"/>
      <c r="J381" s="1000"/>
      <c r="K381" s="1000"/>
      <c r="L381" s="1000"/>
      <c r="M381" s="1000"/>
      <c r="N381" s="1000"/>
      <c r="O381" s="1000"/>
    </row>
    <row r="382" spans="4:15">
      <c r="D382" s="1000"/>
      <c r="E382" s="1000"/>
      <c r="F382" s="1000"/>
      <c r="G382" s="1000"/>
      <c r="H382" s="1000"/>
      <c r="I382" s="1000"/>
      <c r="J382" s="1000"/>
      <c r="K382" s="1000"/>
      <c r="L382" s="1000"/>
      <c r="M382" s="1000"/>
      <c r="N382" s="1000"/>
      <c r="O382" s="1000"/>
    </row>
    <row r="383" spans="4:15">
      <c r="D383" s="1000"/>
      <c r="E383" s="1000"/>
      <c r="F383" s="1000"/>
      <c r="G383" s="1000"/>
      <c r="H383" s="1000"/>
      <c r="I383" s="1000"/>
      <c r="J383" s="1000"/>
      <c r="K383" s="1000"/>
      <c r="L383" s="1000"/>
      <c r="M383" s="1000"/>
      <c r="N383" s="1000"/>
      <c r="O383" s="1000"/>
    </row>
    <row r="384" spans="4:15">
      <c r="D384" s="1000"/>
      <c r="E384" s="1000"/>
      <c r="F384" s="1000"/>
      <c r="G384" s="1000"/>
      <c r="H384" s="1000"/>
      <c r="I384" s="1000"/>
      <c r="J384" s="1000"/>
      <c r="K384" s="1000"/>
      <c r="L384" s="1000"/>
      <c r="M384" s="1000"/>
      <c r="N384" s="1000"/>
      <c r="O384" s="1000"/>
    </row>
    <row r="385" spans="4:15">
      <c r="D385" s="1000"/>
      <c r="E385" s="1000"/>
      <c r="F385" s="1000"/>
      <c r="G385" s="1000"/>
      <c r="H385" s="1000"/>
      <c r="I385" s="1000"/>
      <c r="J385" s="1000"/>
      <c r="K385" s="1000"/>
      <c r="L385" s="1000"/>
      <c r="M385" s="1000"/>
      <c r="N385" s="1000"/>
      <c r="O385" s="1000"/>
    </row>
    <row r="386" spans="4:15">
      <c r="D386" s="1000"/>
      <c r="E386" s="1000"/>
      <c r="F386" s="1000"/>
      <c r="G386" s="1000"/>
      <c r="H386" s="1000"/>
      <c r="I386" s="1000"/>
      <c r="J386" s="1000"/>
      <c r="K386" s="1000"/>
      <c r="L386" s="1000"/>
      <c r="M386" s="1000"/>
      <c r="N386" s="1000"/>
      <c r="O386" s="1000"/>
    </row>
    <row r="387" spans="4:15">
      <c r="D387" s="1000"/>
      <c r="E387" s="1000"/>
      <c r="F387" s="1000"/>
      <c r="G387" s="1000"/>
      <c r="H387" s="1000"/>
      <c r="I387" s="1000"/>
      <c r="J387" s="1000"/>
      <c r="K387" s="1000"/>
      <c r="L387" s="1000"/>
      <c r="M387" s="1000"/>
      <c r="N387" s="1000"/>
      <c r="O387" s="1000"/>
    </row>
    <row r="388" spans="4:15">
      <c r="D388" s="1000"/>
      <c r="E388" s="1000"/>
      <c r="F388" s="1000"/>
      <c r="G388" s="1000"/>
      <c r="H388" s="1000"/>
      <c r="I388" s="1000"/>
      <c r="J388" s="1000"/>
      <c r="K388" s="1000"/>
      <c r="L388" s="1000"/>
      <c r="M388" s="1000"/>
      <c r="N388" s="1000"/>
      <c r="O388" s="1000"/>
    </row>
    <row r="389" spans="4:15">
      <c r="D389" s="1000"/>
      <c r="E389" s="1000"/>
      <c r="F389" s="1000"/>
      <c r="G389" s="1000"/>
      <c r="H389" s="1000"/>
      <c r="I389" s="1000"/>
      <c r="J389" s="1000"/>
      <c r="K389" s="1000"/>
      <c r="L389" s="1000"/>
      <c r="M389" s="1000"/>
      <c r="N389" s="1000"/>
      <c r="O389" s="1000"/>
    </row>
    <row r="390" spans="4:15">
      <c r="D390" s="1000"/>
      <c r="E390" s="1000"/>
      <c r="F390" s="1000"/>
      <c r="G390" s="1000"/>
      <c r="H390" s="1000"/>
      <c r="I390" s="1000"/>
      <c r="J390" s="1000"/>
      <c r="K390" s="1000"/>
      <c r="L390" s="1000"/>
      <c r="M390" s="1000"/>
      <c r="N390" s="1000"/>
      <c r="O390" s="1000"/>
    </row>
    <row r="391" spans="4:15">
      <c r="D391" s="1000"/>
      <c r="E391" s="1000"/>
      <c r="F391" s="1000"/>
      <c r="G391" s="1000"/>
      <c r="H391" s="1000"/>
      <c r="I391" s="1000"/>
      <c r="J391" s="1000"/>
      <c r="K391" s="1000"/>
      <c r="L391" s="1000"/>
      <c r="M391" s="1000"/>
      <c r="N391" s="1000"/>
      <c r="O391" s="1000"/>
    </row>
    <row r="392" spans="4:15">
      <c r="D392" s="1000"/>
      <c r="E392" s="1000"/>
      <c r="F392" s="1000"/>
      <c r="G392" s="1000"/>
      <c r="H392" s="1000"/>
      <c r="I392" s="1000"/>
      <c r="J392" s="1000"/>
      <c r="K392" s="1000"/>
      <c r="L392" s="1000"/>
      <c r="M392" s="1000"/>
      <c r="N392" s="1000"/>
      <c r="O392" s="1000"/>
    </row>
    <row r="393" spans="4:15">
      <c r="D393" s="1000"/>
      <c r="E393" s="1000"/>
      <c r="F393" s="1000"/>
      <c r="G393" s="1000"/>
      <c r="H393" s="1000"/>
      <c r="I393" s="1000"/>
      <c r="J393" s="1000"/>
      <c r="K393" s="1000"/>
      <c r="L393" s="1000"/>
      <c r="M393" s="1000"/>
      <c r="N393" s="1000"/>
      <c r="O393" s="1000"/>
    </row>
    <row r="394" spans="4:15">
      <c r="D394" s="1000"/>
      <c r="E394" s="1000"/>
      <c r="F394" s="1000"/>
      <c r="G394" s="1000"/>
      <c r="H394" s="1000"/>
      <c r="I394" s="1000"/>
      <c r="J394" s="1000"/>
      <c r="K394" s="1000"/>
      <c r="L394" s="1000"/>
      <c r="M394" s="1000"/>
      <c r="N394" s="1000"/>
      <c r="O394" s="1000"/>
    </row>
    <row r="395" spans="4:15">
      <c r="D395" s="1000"/>
      <c r="E395" s="1000"/>
      <c r="F395" s="1000"/>
      <c r="G395" s="1000"/>
      <c r="H395" s="1000"/>
      <c r="I395" s="1000"/>
      <c r="J395" s="1000"/>
      <c r="K395" s="1000"/>
      <c r="L395" s="1000"/>
      <c r="M395" s="1000"/>
      <c r="N395" s="1000"/>
      <c r="O395" s="1000"/>
    </row>
  </sheetData>
  <mergeCells count="7">
    <mergeCell ref="A1:P1"/>
    <mergeCell ref="A3:P3"/>
    <mergeCell ref="A5:P5"/>
    <mergeCell ref="C38:M38"/>
    <mergeCell ref="A32:M32"/>
    <mergeCell ref="A34:M34"/>
    <mergeCell ref="A36:M36"/>
  </mergeCells>
  <phoneticPr fontId="19" type="noConversion"/>
  <pageMargins left="0.98425196850393704" right="0.78740157480314965" top="1.1811023622047245" bottom="0.59055118110236227" header="0.51181102362204722" footer="0.51181102362204722"/>
  <pageSetup paperSize="5" scale="85" orientation="landscape" horizontalDpi="300" verticalDpi="300" r:id="rId1"/>
  <headerFooter alignWithMargins="0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60"/>
  <sheetViews>
    <sheetView topLeftCell="A32" zoomScale="70" workbookViewId="0">
      <selection activeCell="O57" sqref="O57"/>
    </sheetView>
  </sheetViews>
  <sheetFormatPr baseColWidth="10" defaultRowHeight="12.75"/>
  <cols>
    <col min="1" max="1" width="9.42578125" style="1000" customWidth="1"/>
    <col min="2" max="2" width="26.85546875" style="1000" customWidth="1"/>
    <col min="3" max="3" width="9.85546875" style="1000" customWidth="1"/>
    <col min="4" max="4" width="9.7109375" style="1000" customWidth="1"/>
    <col min="5" max="5" width="9.28515625" style="1000" customWidth="1"/>
    <col min="6" max="6" width="9.5703125" style="1000" customWidth="1"/>
    <col min="7" max="7" width="9.28515625" style="1000" customWidth="1"/>
    <col min="8" max="8" width="10.28515625" style="1000" customWidth="1"/>
    <col min="9" max="10" width="9.7109375" style="1000" customWidth="1"/>
    <col min="11" max="11" width="10" style="1000" customWidth="1"/>
    <col min="12" max="12" width="9" style="1000" customWidth="1"/>
    <col min="13" max="13" width="8.5703125" style="1000" customWidth="1"/>
    <col min="14" max="14" width="9.140625" style="1000" customWidth="1"/>
    <col min="15" max="15" width="8.28515625" style="1000" customWidth="1"/>
    <col min="16" max="16" width="9.85546875" style="1000" customWidth="1"/>
    <col min="17" max="16384" width="11.42578125" style="1000"/>
  </cols>
  <sheetData>
    <row r="1" spans="1:16">
      <c r="A1" s="1297" t="s">
        <v>217</v>
      </c>
      <c r="B1" s="1297"/>
      <c r="C1" s="1297"/>
      <c r="D1" s="1297"/>
      <c r="E1" s="1297"/>
      <c r="F1" s="1297"/>
      <c r="G1" s="1297"/>
      <c r="H1" s="1297"/>
      <c r="I1" s="1297"/>
      <c r="J1" s="1297"/>
      <c r="K1" s="1297"/>
      <c r="L1" s="1297"/>
      <c r="M1" s="1297"/>
      <c r="N1" s="1297"/>
      <c r="O1" s="1297"/>
      <c r="P1" s="1297"/>
    </row>
    <row r="2" spans="1:16">
      <c r="A2" s="1015"/>
      <c r="B2" s="1026"/>
    </row>
    <row r="3" spans="1:16">
      <c r="A3" s="1297" t="str">
        <f>+'97'!A3</f>
        <v>SERVICIO DE SALUD   ACONCAGUA   2014</v>
      </c>
      <c r="B3" s="1297"/>
      <c r="C3" s="1297"/>
      <c r="D3" s="1297"/>
      <c r="E3" s="1297"/>
      <c r="F3" s="1297"/>
      <c r="G3" s="1297"/>
      <c r="H3" s="1297"/>
      <c r="I3" s="1297"/>
      <c r="J3" s="1297"/>
      <c r="K3" s="1297"/>
      <c r="L3" s="1297"/>
      <c r="M3" s="1297"/>
      <c r="N3" s="1297"/>
      <c r="O3" s="1297"/>
      <c r="P3" s="1297"/>
    </row>
    <row r="4" spans="1:16">
      <c r="A4" s="1015"/>
      <c r="B4" s="1026"/>
    </row>
    <row r="5" spans="1:16">
      <c r="A5" s="1297" t="s">
        <v>240</v>
      </c>
      <c r="B5" s="1297"/>
      <c r="C5" s="1297"/>
      <c r="D5" s="1297"/>
      <c r="E5" s="1297"/>
      <c r="F5" s="1297"/>
      <c r="G5" s="1297"/>
      <c r="H5" s="1297"/>
      <c r="I5" s="1297"/>
      <c r="J5" s="1297"/>
      <c r="K5" s="1297"/>
      <c r="L5" s="1297"/>
      <c r="M5" s="1297"/>
      <c r="N5" s="1297"/>
      <c r="O5" s="1297"/>
      <c r="P5" s="1297"/>
    </row>
    <row r="6" spans="1:16">
      <c r="A6" s="1027"/>
    </row>
    <row r="7" spans="1:16" ht="18.75" customHeight="1">
      <c r="A7" s="1028" t="s">
        <v>756</v>
      </c>
      <c r="B7" s="997"/>
      <c r="C7" s="1294" t="s">
        <v>757</v>
      </c>
      <c r="D7" s="1295"/>
      <c r="E7" s="1295"/>
      <c r="F7" s="1295"/>
      <c r="G7" s="1295"/>
      <c r="H7" s="1295"/>
      <c r="I7" s="1295"/>
      <c r="J7" s="1295"/>
      <c r="K7" s="1295"/>
      <c r="L7" s="1295"/>
      <c r="M7" s="1295"/>
      <c r="N7" s="1295"/>
      <c r="O7" s="1295"/>
      <c r="P7" s="1296"/>
    </row>
    <row r="8" spans="1:16" ht="23.25" customHeight="1">
      <c r="A8" s="1029" t="s">
        <v>758</v>
      </c>
      <c r="B8" s="1030" t="s">
        <v>759</v>
      </c>
      <c r="C8" s="995" t="s">
        <v>760</v>
      </c>
      <c r="D8" s="1031" t="s">
        <v>699</v>
      </c>
      <c r="E8" s="1019" t="s">
        <v>761</v>
      </c>
      <c r="F8" s="1019" t="s">
        <v>762</v>
      </c>
      <c r="G8" s="1019" t="s">
        <v>483</v>
      </c>
      <c r="H8" s="995" t="s">
        <v>763</v>
      </c>
      <c r="I8" s="1019" t="s">
        <v>764</v>
      </c>
      <c r="J8" s="1019" t="s">
        <v>445</v>
      </c>
      <c r="K8" s="1019" t="s">
        <v>463</v>
      </c>
      <c r="L8" s="1019" t="s">
        <v>468</v>
      </c>
      <c r="M8" s="1019" t="s">
        <v>765</v>
      </c>
      <c r="N8" s="1019" t="s">
        <v>470</v>
      </c>
      <c r="O8" s="1019" t="s">
        <v>766</v>
      </c>
      <c r="P8" s="1020" t="s">
        <v>571</v>
      </c>
    </row>
    <row r="9" spans="1:16">
      <c r="A9" s="1032"/>
      <c r="B9" s="1033"/>
      <c r="C9" s="997"/>
      <c r="D9" s="996"/>
      <c r="E9" s="996"/>
      <c r="F9" s="996"/>
      <c r="G9" s="996"/>
      <c r="H9" s="997"/>
      <c r="I9" s="996"/>
      <c r="J9" s="996"/>
      <c r="K9" s="996"/>
      <c r="L9" s="996"/>
      <c r="M9" s="996"/>
      <c r="N9" s="996"/>
      <c r="O9" s="996"/>
      <c r="P9" s="1021"/>
    </row>
    <row r="10" spans="1:16" ht="18" customHeight="1">
      <c r="A10" s="1034" t="s">
        <v>794</v>
      </c>
      <c r="B10" s="1035" t="s">
        <v>795</v>
      </c>
      <c r="C10" s="999">
        <f>SUM(D10:G10)</f>
        <v>0</v>
      </c>
      <c r="D10" s="998"/>
      <c r="E10" s="998"/>
      <c r="F10" s="998"/>
      <c r="G10" s="998"/>
      <c r="H10" s="999">
        <f>SUM(I10:N10)</f>
        <v>44</v>
      </c>
      <c r="M10" s="1000">
        <v>34</v>
      </c>
      <c r="N10" s="1000">
        <v>10</v>
      </c>
      <c r="O10" s="1000">
        <v>2</v>
      </c>
      <c r="P10" s="1036">
        <f>+O10+H10+C10</f>
        <v>46</v>
      </c>
    </row>
    <row r="11" spans="1:16" ht="20.25" customHeight="1">
      <c r="A11" s="1034" t="s">
        <v>769</v>
      </c>
      <c r="B11" s="1035" t="s">
        <v>770</v>
      </c>
      <c r="C11" s="999">
        <f t="shared" ref="C11:C27" si="0">SUM(D11:G11)</f>
        <v>0</v>
      </c>
      <c r="D11" s="998"/>
      <c r="E11" s="998"/>
      <c r="F11" s="998"/>
      <c r="G11" s="998"/>
      <c r="H11" s="999">
        <f t="shared" ref="H11:H27" si="1">SUM(I11:N11)</f>
        <v>17</v>
      </c>
      <c r="M11" s="1000">
        <v>10</v>
      </c>
      <c r="N11" s="1000">
        <v>7</v>
      </c>
      <c r="P11" s="1036">
        <f t="shared" ref="P11:P27" si="2">+O11+H11+C11</f>
        <v>17</v>
      </c>
    </row>
    <row r="12" spans="1:16" ht="19.5" customHeight="1">
      <c r="A12" s="1034" t="s">
        <v>218</v>
      </c>
      <c r="B12" s="1035" t="s">
        <v>219</v>
      </c>
      <c r="C12" s="999">
        <f t="shared" si="0"/>
        <v>0</v>
      </c>
      <c r="D12" s="998"/>
      <c r="E12" s="998"/>
      <c r="F12" s="998"/>
      <c r="G12" s="998"/>
      <c r="H12" s="999">
        <f t="shared" si="1"/>
        <v>18</v>
      </c>
      <c r="M12" s="1000">
        <v>15</v>
      </c>
      <c r="N12" s="1000">
        <v>3</v>
      </c>
      <c r="O12" s="1000">
        <v>1</v>
      </c>
      <c r="P12" s="1036">
        <f t="shared" si="2"/>
        <v>19</v>
      </c>
    </row>
    <row r="13" spans="1:16" ht="20.25" customHeight="1">
      <c r="A13" s="1034" t="s">
        <v>798</v>
      </c>
      <c r="B13" s="1035" t="s">
        <v>799</v>
      </c>
      <c r="C13" s="999">
        <f t="shared" si="0"/>
        <v>1</v>
      </c>
      <c r="D13" s="998"/>
      <c r="E13" s="998">
        <v>1</v>
      </c>
      <c r="F13" s="998"/>
      <c r="G13" s="998"/>
      <c r="H13" s="999">
        <f t="shared" si="1"/>
        <v>86</v>
      </c>
      <c r="M13" s="1000">
        <v>62</v>
      </c>
      <c r="N13" s="1000">
        <v>24</v>
      </c>
      <c r="O13" s="1000">
        <v>2</v>
      </c>
      <c r="P13" s="1036">
        <f t="shared" si="2"/>
        <v>89</v>
      </c>
    </row>
    <row r="14" spans="1:16" ht="19.5" customHeight="1">
      <c r="A14" s="1034" t="s">
        <v>220</v>
      </c>
      <c r="B14" s="1035" t="s">
        <v>221</v>
      </c>
      <c r="C14" s="999">
        <f t="shared" si="0"/>
        <v>1</v>
      </c>
      <c r="D14" s="998">
        <v>1</v>
      </c>
      <c r="E14" s="998"/>
      <c r="F14" s="998"/>
      <c r="G14" s="998"/>
      <c r="H14" s="999">
        <f t="shared" si="1"/>
        <v>43</v>
      </c>
      <c r="J14" s="1000">
        <v>1</v>
      </c>
      <c r="L14" s="1000">
        <v>1</v>
      </c>
      <c r="M14" s="1000">
        <v>30</v>
      </c>
      <c r="N14" s="1000">
        <v>11</v>
      </c>
      <c r="O14" s="1000">
        <v>1</v>
      </c>
      <c r="P14" s="1036">
        <f t="shared" si="2"/>
        <v>45</v>
      </c>
    </row>
    <row r="15" spans="1:16" ht="19.5" customHeight="1">
      <c r="A15" s="1034" t="s">
        <v>222</v>
      </c>
      <c r="B15" s="1035" t="s">
        <v>223</v>
      </c>
      <c r="C15" s="999">
        <f t="shared" si="0"/>
        <v>0</v>
      </c>
      <c r="D15" s="998"/>
      <c r="E15" s="998"/>
      <c r="F15" s="998"/>
      <c r="G15" s="998"/>
      <c r="H15" s="999">
        <f t="shared" si="1"/>
        <v>21</v>
      </c>
      <c r="M15" s="1000">
        <v>19</v>
      </c>
      <c r="N15" s="1000">
        <v>2</v>
      </c>
      <c r="O15" s="1000">
        <v>1</v>
      </c>
      <c r="P15" s="1036">
        <f t="shared" si="2"/>
        <v>22</v>
      </c>
    </row>
    <row r="16" spans="1:16" ht="19.5" customHeight="1">
      <c r="A16" s="1034" t="s">
        <v>224</v>
      </c>
      <c r="B16" s="1035" t="s">
        <v>225</v>
      </c>
      <c r="C16" s="999">
        <f t="shared" si="0"/>
        <v>0</v>
      </c>
      <c r="D16" s="998"/>
      <c r="E16" s="998"/>
      <c r="F16" s="998"/>
      <c r="G16" s="998"/>
      <c r="H16" s="999">
        <f t="shared" si="1"/>
        <v>5</v>
      </c>
      <c r="L16" s="1000">
        <v>1</v>
      </c>
      <c r="M16" s="1000">
        <v>1</v>
      </c>
      <c r="N16" s="1000">
        <v>3</v>
      </c>
      <c r="P16" s="1036">
        <f t="shared" si="2"/>
        <v>5</v>
      </c>
    </row>
    <row r="17" spans="1:16" ht="20.25" customHeight="1">
      <c r="A17" s="1034" t="s">
        <v>767</v>
      </c>
      <c r="B17" s="1035" t="s">
        <v>768</v>
      </c>
      <c r="C17" s="999">
        <f t="shared" si="0"/>
        <v>0</v>
      </c>
      <c r="D17" s="998"/>
      <c r="E17" s="998"/>
      <c r="F17" s="998"/>
      <c r="G17" s="998"/>
      <c r="H17" s="999">
        <f t="shared" si="1"/>
        <v>173</v>
      </c>
      <c r="I17" s="1000">
        <v>1</v>
      </c>
      <c r="M17" s="1000">
        <v>138</v>
      </c>
      <c r="N17" s="1000">
        <v>34</v>
      </c>
      <c r="O17" s="1000">
        <v>7</v>
      </c>
      <c r="P17" s="1036">
        <f t="shared" si="2"/>
        <v>180</v>
      </c>
    </row>
    <row r="18" spans="1:16" ht="19.5" customHeight="1">
      <c r="A18" s="1034" t="s">
        <v>771</v>
      </c>
      <c r="B18" s="1035" t="s">
        <v>772</v>
      </c>
      <c r="C18" s="999">
        <f t="shared" si="0"/>
        <v>0</v>
      </c>
      <c r="D18" s="998"/>
      <c r="E18" s="998"/>
      <c r="F18" s="998"/>
      <c r="G18" s="998"/>
      <c r="H18" s="999">
        <f t="shared" si="1"/>
        <v>522</v>
      </c>
      <c r="I18" s="1000">
        <v>1</v>
      </c>
      <c r="L18" s="1000">
        <v>2</v>
      </c>
      <c r="M18" s="1000">
        <v>354</v>
      </c>
      <c r="N18" s="1000">
        <v>165</v>
      </c>
      <c r="O18" s="1000">
        <v>11</v>
      </c>
      <c r="P18" s="1036">
        <f t="shared" si="2"/>
        <v>533</v>
      </c>
    </row>
    <row r="19" spans="1:16" ht="19.5" customHeight="1">
      <c r="A19" s="1034" t="s">
        <v>790</v>
      </c>
      <c r="B19" s="1035" t="s">
        <v>791</v>
      </c>
      <c r="C19" s="999">
        <f t="shared" si="0"/>
        <v>0</v>
      </c>
      <c r="D19" s="998"/>
      <c r="E19" s="998"/>
      <c r="F19" s="998"/>
      <c r="G19" s="998"/>
      <c r="H19" s="999">
        <f t="shared" si="1"/>
        <v>90</v>
      </c>
      <c r="L19" s="1000">
        <v>1</v>
      </c>
      <c r="M19" s="1000">
        <v>64</v>
      </c>
      <c r="N19" s="1000">
        <v>25</v>
      </c>
      <c r="O19" s="1000">
        <v>8</v>
      </c>
      <c r="P19" s="1036">
        <f t="shared" si="2"/>
        <v>98</v>
      </c>
    </row>
    <row r="20" spans="1:16" ht="18.75" customHeight="1">
      <c r="A20" s="1034" t="s">
        <v>226</v>
      </c>
      <c r="B20" s="1035" t="s">
        <v>227</v>
      </c>
      <c r="C20" s="999">
        <f t="shared" si="0"/>
        <v>0</v>
      </c>
      <c r="D20" s="998"/>
      <c r="E20" s="998"/>
      <c r="F20" s="998"/>
      <c r="G20" s="998"/>
      <c r="H20" s="999">
        <f t="shared" si="1"/>
        <v>61</v>
      </c>
      <c r="M20" s="1000">
        <v>46</v>
      </c>
      <c r="N20" s="1000">
        <v>15</v>
      </c>
      <c r="O20" s="1000">
        <v>8</v>
      </c>
      <c r="P20" s="1036">
        <f t="shared" si="2"/>
        <v>69</v>
      </c>
    </row>
    <row r="21" spans="1:16" ht="19.5" customHeight="1">
      <c r="A21" s="1034" t="s">
        <v>228</v>
      </c>
      <c r="B21" s="1035" t="s">
        <v>229</v>
      </c>
      <c r="C21" s="999">
        <f t="shared" si="0"/>
        <v>0</v>
      </c>
      <c r="D21" s="998"/>
      <c r="E21" s="998"/>
      <c r="F21" s="998"/>
      <c r="G21" s="998"/>
      <c r="H21" s="999">
        <f t="shared" si="1"/>
        <v>16</v>
      </c>
      <c r="M21" s="1000">
        <v>10</v>
      </c>
      <c r="N21" s="1000">
        <v>6</v>
      </c>
      <c r="O21" s="1000">
        <v>1</v>
      </c>
      <c r="P21" s="1036">
        <f t="shared" si="2"/>
        <v>17</v>
      </c>
    </row>
    <row r="22" spans="1:16" ht="19.5" customHeight="1">
      <c r="A22" s="1034" t="s">
        <v>792</v>
      </c>
      <c r="B22" s="1035" t="s">
        <v>793</v>
      </c>
      <c r="C22" s="999">
        <f t="shared" si="0"/>
        <v>0</v>
      </c>
      <c r="D22" s="998"/>
      <c r="E22" s="998"/>
      <c r="F22" s="998"/>
      <c r="G22" s="998"/>
      <c r="H22" s="999">
        <f t="shared" si="1"/>
        <v>133</v>
      </c>
      <c r="M22" s="1000">
        <v>97</v>
      </c>
      <c r="N22" s="1000">
        <v>36</v>
      </c>
      <c r="O22" s="1000">
        <v>7</v>
      </c>
      <c r="P22" s="1036">
        <f t="shared" si="2"/>
        <v>140</v>
      </c>
    </row>
    <row r="23" spans="1:16" ht="18.75" customHeight="1">
      <c r="A23" s="1034" t="s">
        <v>230</v>
      </c>
      <c r="B23" s="1035" t="s">
        <v>231</v>
      </c>
      <c r="C23" s="999">
        <f t="shared" si="0"/>
        <v>0</v>
      </c>
      <c r="D23" s="998"/>
      <c r="E23" s="998"/>
      <c r="F23" s="998"/>
      <c r="G23" s="998"/>
      <c r="H23" s="999">
        <f t="shared" si="1"/>
        <v>3</v>
      </c>
      <c r="M23" s="1000">
        <v>1</v>
      </c>
      <c r="N23" s="1000">
        <v>2</v>
      </c>
      <c r="P23" s="1036">
        <f t="shared" si="2"/>
        <v>3</v>
      </c>
    </row>
    <row r="24" spans="1:16" ht="19.5" customHeight="1">
      <c r="A24" s="1034" t="s">
        <v>800</v>
      </c>
      <c r="B24" s="1035" t="s">
        <v>801</v>
      </c>
      <c r="C24" s="999">
        <f t="shared" si="0"/>
        <v>0</v>
      </c>
      <c r="D24" s="998"/>
      <c r="E24" s="998"/>
      <c r="F24" s="998"/>
      <c r="G24" s="998"/>
      <c r="H24" s="999">
        <f t="shared" si="1"/>
        <v>0</v>
      </c>
      <c r="P24" s="1036">
        <f t="shared" si="2"/>
        <v>0</v>
      </c>
    </row>
    <row r="25" spans="1:16" ht="20.25" customHeight="1">
      <c r="A25" s="1034" t="s">
        <v>802</v>
      </c>
      <c r="B25" s="1035" t="s">
        <v>803</v>
      </c>
      <c r="C25" s="999">
        <f t="shared" si="0"/>
        <v>0</v>
      </c>
      <c r="D25" s="998"/>
      <c r="E25" s="998"/>
      <c r="F25" s="998"/>
      <c r="G25" s="998"/>
      <c r="H25" s="999">
        <f t="shared" si="1"/>
        <v>1</v>
      </c>
      <c r="N25" s="1000">
        <v>1</v>
      </c>
      <c r="P25" s="1036">
        <f t="shared" si="2"/>
        <v>1</v>
      </c>
    </row>
    <row r="26" spans="1:16" ht="21.75" customHeight="1">
      <c r="A26" s="1034" t="s">
        <v>796</v>
      </c>
      <c r="B26" s="1035" t="s">
        <v>817</v>
      </c>
      <c r="C26" s="999">
        <f t="shared" si="0"/>
        <v>1</v>
      </c>
      <c r="D26" s="998">
        <v>1</v>
      </c>
      <c r="E26" s="998"/>
      <c r="F26" s="998"/>
      <c r="G26" s="998"/>
      <c r="H26" s="999">
        <f t="shared" si="1"/>
        <v>47</v>
      </c>
      <c r="M26" s="1000">
        <v>35</v>
      </c>
      <c r="N26" s="1000">
        <v>12</v>
      </c>
      <c r="O26" s="1000">
        <v>1</v>
      </c>
      <c r="P26" s="1036">
        <f t="shared" si="2"/>
        <v>49</v>
      </c>
    </row>
    <row r="27" spans="1:16" ht="27.75" customHeight="1">
      <c r="A27" s="1034" t="s">
        <v>788</v>
      </c>
      <c r="B27" s="963" t="s">
        <v>232</v>
      </c>
      <c r="C27" s="999">
        <f t="shared" si="0"/>
        <v>4</v>
      </c>
      <c r="D27" s="998">
        <v>4</v>
      </c>
      <c r="E27" s="998"/>
      <c r="F27" s="998"/>
      <c r="G27" s="998"/>
      <c r="H27" s="999">
        <f t="shared" si="1"/>
        <v>136</v>
      </c>
      <c r="J27" s="1000">
        <v>1</v>
      </c>
      <c r="L27" s="1000">
        <v>5</v>
      </c>
      <c r="M27" s="1000">
        <v>93</v>
      </c>
      <c r="N27" s="1000">
        <v>37</v>
      </c>
      <c r="O27" s="1000">
        <v>7</v>
      </c>
      <c r="P27" s="1036">
        <f t="shared" si="2"/>
        <v>147</v>
      </c>
    </row>
    <row r="28" spans="1:16" ht="21.75" customHeight="1">
      <c r="A28" s="1037"/>
      <c r="B28" s="1037" t="s">
        <v>923</v>
      </c>
      <c r="C28" s="1012">
        <f>SUM(C10:C27)</f>
        <v>7</v>
      </c>
      <c r="D28" s="1013">
        <f t="shared" ref="D28:P28" si="3">SUM(D10:D27)</f>
        <v>6</v>
      </c>
      <c r="E28" s="1013">
        <f t="shared" si="3"/>
        <v>1</v>
      </c>
      <c r="F28" s="1013">
        <f t="shared" si="3"/>
        <v>0</v>
      </c>
      <c r="G28" s="1013">
        <f t="shared" si="3"/>
        <v>0</v>
      </c>
      <c r="H28" s="1012">
        <f t="shared" si="3"/>
        <v>1416</v>
      </c>
      <c r="I28" s="1013">
        <f t="shared" si="3"/>
        <v>2</v>
      </c>
      <c r="J28" s="1013">
        <f t="shared" si="3"/>
        <v>2</v>
      </c>
      <c r="K28" s="1013">
        <f t="shared" si="3"/>
        <v>0</v>
      </c>
      <c r="L28" s="1013">
        <f t="shared" si="3"/>
        <v>10</v>
      </c>
      <c r="M28" s="1013">
        <f t="shared" si="3"/>
        <v>1009</v>
      </c>
      <c r="N28" s="1013">
        <f t="shared" si="3"/>
        <v>393</v>
      </c>
      <c r="O28" s="1013">
        <f t="shared" si="3"/>
        <v>57</v>
      </c>
      <c r="P28" s="1025">
        <f t="shared" si="3"/>
        <v>1480</v>
      </c>
    </row>
    <row r="29" spans="1:16" ht="21.75" customHeight="1">
      <c r="A29" s="1002"/>
      <c r="B29" s="1002"/>
      <c r="C29" s="1002"/>
      <c r="D29" s="1002"/>
      <c r="E29" s="1002"/>
      <c r="F29" s="1002"/>
      <c r="G29" s="1002"/>
      <c r="H29" s="1002"/>
      <c r="I29" s="1002"/>
      <c r="J29" s="1002"/>
      <c r="K29" s="1002"/>
      <c r="L29" s="1002"/>
      <c r="M29" s="1002"/>
      <c r="N29" s="1014"/>
    </row>
    <row r="30" spans="1:16" ht="21.75" customHeight="1">
      <c r="A30" s="1002"/>
      <c r="B30" s="1002"/>
      <c r="C30" s="1147" t="s">
        <v>1402</v>
      </c>
      <c r="D30" s="1002"/>
      <c r="E30" s="1002"/>
      <c r="F30" s="1002"/>
      <c r="G30" s="1002"/>
      <c r="H30" s="1002"/>
      <c r="I30" s="1002"/>
      <c r="J30" s="1002"/>
      <c r="K30" s="1002"/>
      <c r="L30" s="1002"/>
      <c r="M30" s="1002"/>
      <c r="N30" s="1014"/>
    </row>
    <row r="31" spans="1:16" ht="21.75" customHeight="1">
      <c r="A31" s="1002"/>
      <c r="B31" s="1002"/>
      <c r="C31" s="1002"/>
      <c r="D31" s="1002"/>
      <c r="E31" s="1002"/>
      <c r="F31" s="1002"/>
      <c r="G31" s="1002"/>
      <c r="H31" s="1002"/>
      <c r="I31" s="1002"/>
      <c r="J31" s="1002"/>
      <c r="K31" s="1002"/>
      <c r="L31" s="1002"/>
      <c r="M31" s="1002"/>
      <c r="N31" s="1014"/>
    </row>
    <row r="32" spans="1:16" ht="21.75" customHeight="1">
      <c r="A32" s="1002"/>
      <c r="B32" s="1002"/>
      <c r="C32" s="1002"/>
      <c r="D32" s="1002"/>
      <c r="E32" s="1002"/>
      <c r="F32" s="1002"/>
      <c r="G32" s="1002"/>
      <c r="H32" s="1002"/>
      <c r="I32" s="1002"/>
      <c r="J32" s="1002"/>
      <c r="K32" s="1002"/>
      <c r="L32" s="1002"/>
      <c r="M32" s="1002"/>
      <c r="N32" s="1014"/>
    </row>
    <row r="33" spans="1:14">
      <c r="A33" s="1297" t="s">
        <v>233</v>
      </c>
      <c r="B33" s="1297"/>
      <c r="C33" s="1297"/>
      <c r="D33" s="1297"/>
      <c r="E33" s="1297"/>
      <c r="F33" s="1297"/>
      <c r="G33" s="1297"/>
      <c r="H33" s="1297"/>
      <c r="I33" s="1297"/>
      <c r="J33" s="1297"/>
      <c r="K33" s="1297"/>
      <c r="L33" s="1297"/>
      <c r="M33" s="1297"/>
      <c r="N33" s="1016"/>
    </row>
    <row r="34" spans="1:14">
      <c r="A34" s="1015"/>
      <c r="B34" s="1015"/>
      <c r="C34" s="1017"/>
      <c r="D34" s="1017"/>
      <c r="E34" s="1017"/>
      <c r="F34" s="1017"/>
    </row>
    <row r="35" spans="1:14">
      <c r="A35" s="1297" t="str">
        <f>+A3</f>
        <v>SERVICIO DE SALUD   ACONCAGUA   2014</v>
      </c>
      <c r="B35" s="1297"/>
      <c r="C35" s="1297"/>
      <c r="D35" s="1297"/>
      <c r="E35" s="1297"/>
      <c r="F35" s="1297"/>
      <c r="G35" s="1297"/>
      <c r="H35" s="1297"/>
      <c r="I35" s="1297"/>
      <c r="J35" s="1297"/>
      <c r="K35" s="1297"/>
      <c r="L35" s="1297"/>
      <c r="M35" s="1297"/>
    </row>
    <row r="36" spans="1:14" ht="15.75" customHeight="1">
      <c r="A36" s="1015"/>
      <c r="B36" s="1015"/>
      <c r="C36" s="1017"/>
      <c r="D36" s="1017"/>
      <c r="E36" s="1017"/>
      <c r="F36" s="1017"/>
    </row>
    <row r="37" spans="1:14">
      <c r="A37" s="1297" t="s">
        <v>240</v>
      </c>
      <c r="B37" s="1297"/>
      <c r="C37" s="1297"/>
      <c r="D37" s="1297"/>
      <c r="E37" s="1297"/>
      <c r="F37" s="1297"/>
      <c r="G37" s="1297"/>
      <c r="H37" s="1297"/>
      <c r="I37" s="1297"/>
      <c r="J37" s="1297"/>
      <c r="K37" s="1297"/>
      <c r="L37" s="1297"/>
      <c r="M37" s="1297"/>
    </row>
    <row r="39" spans="1:14" ht="21.75" customHeight="1">
      <c r="A39" s="1028" t="s">
        <v>756</v>
      </c>
      <c r="B39" s="997"/>
      <c r="C39" s="1294" t="s">
        <v>805</v>
      </c>
      <c r="D39" s="1295"/>
      <c r="E39" s="1295"/>
      <c r="F39" s="1295"/>
      <c r="G39" s="1295"/>
      <c r="H39" s="1295"/>
      <c r="I39" s="1295"/>
      <c r="J39" s="1295"/>
      <c r="K39" s="1295"/>
      <c r="L39" s="1295"/>
      <c r="M39" s="1296"/>
      <c r="N39" s="1018"/>
    </row>
    <row r="40" spans="1:14" ht="23.25" customHeight="1">
      <c r="A40" s="1029" t="s">
        <v>758</v>
      </c>
      <c r="B40" s="1030" t="s">
        <v>759</v>
      </c>
      <c r="C40" s="1019" t="s">
        <v>807</v>
      </c>
      <c r="D40" s="1019" t="s">
        <v>808</v>
      </c>
      <c r="E40" s="1019" t="s">
        <v>809</v>
      </c>
      <c r="F40" s="1019" t="s">
        <v>810</v>
      </c>
      <c r="G40" s="1019" t="s">
        <v>811</v>
      </c>
      <c r="H40" s="1019" t="s">
        <v>812</v>
      </c>
      <c r="I40" s="1019" t="s">
        <v>813</v>
      </c>
      <c r="J40" s="1019" t="s">
        <v>814</v>
      </c>
      <c r="K40" s="1019" t="s">
        <v>815</v>
      </c>
      <c r="L40" s="1019" t="s">
        <v>816</v>
      </c>
      <c r="M40" s="1020" t="s">
        <v>571</v>
      </c>
    </row>
    <row r="41" spans="1:14">
      <c r="A41" s="1032"/>
      <c r="B41" s="1033"/>
      <c r="C41" s="996"/>
      <c r="D41" s="996"/>
      <c r="E41" s="996"/>
      <c r="F41" s="996"/>
      <c r="G41" s="996"/>
      <c r="H41" s="996"/>
      <c r="I41" s="996"/>
      <c r="J41" s="996"/>
      <c r="K41" s="996"/>
      <c r="L41" s="996"/>
      <c r="M41" s="1021"/>
    </row>
    <row r="42" spans="1:14" ht="20.25" customHeight="1">
      <c r="A42" s="1034" t="s">
        <v>794</v>
      </c>
      <c r="B42" s="1035" t="s">
        <v>795</v>
      </c>
      <c r="E42" s="1000">
        <v>1</v>
      </c>
      <c r="F42" s="1000">
        <v>16</v>
      </c>
      <c r="G42" s="1000">
        <v>4</v>
      </c>
      <c r="H42" s="1000">
        <v>1</v>
      </c>
      <c r="I42" s="1000">
        <v>1</v>
      </c>
      <c r="J42" s="1000">
        <v>1</v>
      </c>
      <c r="K42" s="1000">
        <v>5</v>
      </c>
      <c r="L42" s="1000">
        <v>17</v>
      </c>
      <c r="M42" s="1036">
        <f t="shared" ref="M42:M59" si="4">SUM(B42:L42)</f>
        <v>46</v>
      </c>
    </row>
    <row r="43" spans="1:14" ht="19.5" customHeight="1">
      <c r="A43" s="1034" t="s">
        <v>769</v>
      </c>
      <c r="B43" s="1035" t="s">
        <v>770</v>
      </c>
      <c r="K43" s="1000">
        <v>6</v>
      </c>
      <c r="L43" s="1000">
        <v>11</v>
      </c>
      <c r="M43" s="1036">
        <f t="shared" si="4"/>
        <v>17</v>
      </c>
    </row>
    <row r="44" spans="1:14" ht="18" customHeight="1">
      <c r="A44" s="1034" t="s">
        <v>218</v>
      </c>
      <c r="B44" s="1035" t="s">
        <v>219</v>
      </c>
      <c r="E44" s="1000">
        <v>1</v>
      </c>
      <c r="I44" s="1000">
        <v>3</v>
      </c>
      <c r="K44" s="1000">
        <v>1</v>
      </c>
      <c r="L44" s="1000">
        <v>14</v>
      </c>
      <c r="M44" s="1036">
        <f t="shared" si="4"/>
        <v>19</v>
      </c>
    </row>
    <row r="45" spans="1:14" ht="19.5" customHeight="1">
      <c r="A45" s="1034" t="s">
        <v>798</v>
      </c>
      <c r="B45" s="1035" t="s">
        <v>799</v>
      </c>
      <c r="F45" s="1000">
        <v>1</v>
      </c>
      <c r="I45" s="1000">
        <v>1</v>
      </c>
      <c r="J45" s="1000">
        <v>7</v>
      </c>
      <c r="K45" s="1000">
        <v>28</v>
      </c>
      <c r="L45" s="1000">
        <v>52</v>
      </c>
      <c r="M45" s="1036">
        <f t="shared" si="4"/>
        <v>89</v>
      </c>
    </row>
    <row r="46" spans="1:14" ht="19.5" customHeight="1">
      <c r="A46" s="1034" t="s">
        <v>220</v>
      </c>
      <c r="B46" s="1035" t="s">
        <v>221</v>
      </c>
      <c r="D46" s="1006"/>
      <c r="F46" s="1000">
        <v>1</v>
      </c>
      <c r="I46" s="1000">
        <v>6</v>
      </c>
      <c r="J46" s="1000">
        <v>16</v>
      </c>
      <c r="K46" s="1000">
        <v>7</v>
      </c>
      <c r="L46" s="1000">
        <v>15</v>
      </c>
      <c r="M46" s="1036">
        <f t="shared" si="4"/>
        <v>45</v>
      </c>
    </row>
    <row r="47" spans="1:14" ht="19.5" customHeight="1">
      <c r="A47" s="1034" t="s">
        <v>222</v>
      </c>
      <c r="B47" s="1035" t="s">
        <v>223</v>
      </c>
      <c r="E47" s="1000">
        <v>1</v>
      </c>
      <c r="F47" s="1000">
        <v>1</v>
      </c>
      <c r="I47" s="1000">
        <v>2</v>
      </c>
      <c r="J47" s="1000">
        <v>6</v>
      </c>
      <c r="K47" s="1000">
        <v>3</v>
      </c>
      <c r="L47" s="1000">
        <v>9</v>
      </c>
      <c r="M47" s="1036">
        <f t="shared" si="4"/>
        <v>22</v>
      </c>
    </row>
    <row r="48" spans="1:14" ht="19.5" customHeight="1">
      <c r="A48" s="1034" t="s">
        <v>224</v>
      </c>
      <c r="B48" s="1035" t="s">
        <v>225</v>
      </c>
      <c r="F48" s="1000">
        <v>1</v>
      </c>
      <c r="G48" s="1000">
        <v>1</v>
      </c>
      <c r="K48" s="1000">
        <v>1</v>
      </c>
      <c r="L48" s="1000">
        <v>2</v>
      </c>
      <c r="M48" s="1036">
        <f t="shared" si="4"/>
        <v>5</v>
      </c>
    </row>
    <row r="49" spans="1:13" ht="18" customHeight="1">
      <c r="A49" s="1034" t="s">
        <v>767</v>
      </c>
      <c r="B49" s="1035" t="s">
        <v>768</v>
      </c>
      <c r="I49" s="1000">
        <v>2</v>
      </c>
      <c r="J49" s="1000">
        <v>6</v>
      </c>
      <c r="K49" s="1000">
        <v>56</v>
      </c>
      <c r="L49" s="1000">
        <v>116</v>
      </c>
      <c r="M49" s="1036">
        <f t="shared" si="4"/>
        <v>180</v>
      </c>
    </row>
    <row r="50" spans="1:13" ht="18.75" customHeight="1">
      <c r="A50" s="1034" t="s">
        <v>771</v>
      </c>
      <c r="B50" s="1035" t="s">
        <v>772</v>
      </c>
      <c r="E50" s="1000">
        <v>10</v>
      </c>
      <c r="F50" s="1000">
        <v>101</v>
      </c>
      <c r="G50" s="1000">
        <v>20</v>
      </c>
      <c r="H50" s="1000">
        <v>6</v>
      </c>
      <c r="I50" s="1000">
        <v>3</v>
      </c>
      <c r="J50" s="1000">
        <v>30</v>
      </c>
      <c r="K50" s="1000">
        <v>68</v>
      </c>
      <c r="L50" s="1000">
        <v>295</v>
      </c>
      <c r="M50" s="1036">
        <f t="shared" si="4"/>
        <v>533</v>
      </c>
    </row>
    <row r="51" spans="1:13" ht="19.5" customHeight="1">
      <c r="A51" s="1034" t="s">
        <v>790</v>
      </c>
      <c r="B51" s="1035" t="s">
        <v>791</v>
      </c>
      <c r="F51" s="1000">
        <v>1</v>
      </c>
      <c r="G51" s="1000">
        <v>1</v>
      </c>
      <c r="I51" s="1000">
        <v>4</v>
      </c>
      <c r="J51" s="1000">
        <v>20</v>
      </c>
      <c r="K51" s="1000">
        <v>29</v>
      </c>
      <c r="L51" s="1000">
        <v>43</v>
      </c>
      <c r="M51" s="1036">
        <f t="shared" si="4"/>
        <v>98</v>
      </c>
    </row>
    <row r="52" spans="1:13" ht="18" customHeight="1">
      <c r="A52" s="1034" t="s">
        <v>226</v>
      </c>
      <c r="B52" s="1035" t="s">
        <v>227</v>
      </c>
      <c r="F52" s="1000">
        <v>4</v>
      </c>
      <c r="G52" s="1000">
        <v>4</v>
      </c>
      <c r="I52" s="1000">
        <v>1</v>
      </c>
      <c r="J52" s="1000">
        <v>13</v>
      </c>
      <c r="K52" s="1000">
        <v>21</v>
      </c>
      <c r="L52" s="1000">
        <v>26</v>
      </c>
      <c r="M52" s="1036">
        <f t="shared" si="4"/>
        <v>69</v>
      </c>
    </row>
    <row r="53" spans="1:13" ht="19.5" customHeight="1">
      <c r="A53" s="1034" t="s">
        <v>228</v>
      </c>
      <c r="B53" s="1035" t="s">
        <v>229</v>
      </c>
      <c r="J53" s="1000">
        <v>2</v>
      </c>
      <c r="K53" s="1000">
        <v>8</v>
      </c>
      <c r="L53" s="1000">
        <v>7</v>
      </c>
      <c r="M53" s="1036">
        <f t="shared" si="4"/>
        <v>17</v>
      </c>
    </row>
    <row r="54" spans="1:13" ht="18.75" customHeight="1">
      <c r="A54" s="1034" t="s">
        <v>792</v>
      </c>
      <c r="B54" s="1035" t="s">
        <v>793</v>
      </c>
      <c r="F54" s="1000">
        <v>6</v>
      </c>
      <c r="G54" s="1000">
        <v>4</v>
      </c>
      <c r="H54" s="1000">
        <v>5</v>
      </c>
      <c r="I54" s="1000">
        <v>4</v>
      </c>
      <c r="J54" s="1000">
        <v>24</v>
      </c>
      <c r="K54" s="1000">
        <v>46</v>
      </c>
      <c r="L54" s="1000">
        <v>51</v>
      </c>
      <c r="M54" s="1036">
        <f t="shared" si="4"/>
        <v>140</v>
      </c>
    </row>
    <row r="55" spans="1:13" ht="18.75" customHeight="1">
      <c r="A55" s="1034" t="s">
        <v>230</v>
      </c>
      <c r="B55" s="1035" t="s">
        <v>231</v>
      </c>
      <c r="C55" s="1006"/>
      <c r="D55" s="1006"/>
      <c r="E55" s="1006"/>
      <c r="F55" s="1006"/>
      <c r="J55" s="1000">
        <v>3</v>
      </c>
      <c r="L55" s="1006"/>
      <c r="M55" s="1036">
        <f t="shared" si="4"/>
        <v>3</v>
      </c>
    </row>
    <row r="56" spans="1:13" ht="18" customHeight="1">
      <c r="A56" s="1034" t="s">
        <v>800</v>
      </c>
      <c r="B56" s="1035" t="s">
        <v>801</v>
      </c>
      <c r="F56" s="1006"/>
      <c r="J56" s="1006"/>
      <c r="K56" s="1006"/>
      <c r="L56" s="1006"/>
      <c r="M56" s="1036">
        <f t="shared" si="4"/>
        <v>0</v>
      </c>
    </row>
    <row r="57" spans="1:13" ht="20.25" customHeight="1">
      <c r="A57" s="1034" t="s">
        <v>802</v>
      </c>
      <c r="B57" s="1035" t="s">
        <v>803</v>
      </c>
      <c r="K57" s="1000">
        <v>1</v>
      </c>
      <c r="M57" s="1036">
        <f t="shared" si="4"/>
        <v>1</v>
      </c>
    </row>
    <row r="58" spans="1:13" ht="19.5" customHeight="1">
      <c r="A58" s="1034" t="s">
        <v>796</v>
      </c>
      <c r="B58" s="1035" t="s">
        <v>817</v>
      </c>
      <c r="E58" s="1000">
        <v>1</v>
      </c>
      <c r="F58" s="1000">
        <v>6</v>
      </c>
      <c r="G58" s="1000">
        <v>5</v>
      </c>
      <c r="H58" s="1000">
        <v>2</v>
      </c>
      <c r="J58" s="1000">
        <v>8</v>
      </c>
      <c r="K58" s="1000">
        <v>9</v>
      </c>
      <c r="L58" s="1000">
        <v>18</v>
      </c>
      <c r="M58" s="1036">
        <f t="shared" si="4"/>
        <v>49</v>
      </c>
    </row>
    <row r="59" spans="1:13" ht="27.75" customHeight="1">
      <c r="A59" s="1034" t="s">
        <v>788</v>
      </c>
      <c r="B59" s="963" t="s">
        <v>232</v>
      </c>
      <c r="F59" s="1000">
        <v>13</v>
      </c>
      <c r="G59" s="1000">
        <v>7</v>
      </c>
      <c r="H59" s="1000">
        <v>8</v>
      </c>
      <c r="I59" s="1000">
        <v>14</v>
      </c>
      <c r="J59" s="1000">
        <v>49</v>
      </c>
      <c r="K59" s="1000">
        <v>26</v>
      </c>
      <c r="L59" s="1000">
        <v>30</v>
      </c>
      <c r="M59" s="1036">
        <f t="shared" si="4"/>
        <v>147</v>
      </c>
    </row>
    <row r="60" spans="1:13" ht="19.5" customHeight="1">
      <c r="A60" s="1037"/>
      <c r="B60" s="1037" t="s">
        <v>923</v>
      </c>
      <c r="C60" s="1013">
        <f t="shared" ref="C60:M60" si="5">SUM(C42:C59)</f>
        <v>0</v>
      </c>
      <c r="D60" s="1013">
        <f t="shared" si="5"/>
        <v>0</v>
      </c>
      <c r="E60" s="1013">
        <f t="shared" si="5"/>
        <v>14</v>
      </c>
      <c r="F60" s="1013">
        <f t="shared" si="5"/>
        <v>151</v>
      </c>
      <c r="G60" s="1013">
        <f t="shared" si="5"/>
        <v>46</v>
      </c>
      <c r="H60" s="1013">
        <f t="shared" si="5"/>
        <v>22</v>
      </c>
      <c r="I60" s="1013">
        <f t="shared" si="5"/>
        <v>41</v>
      </c>
      <c r="J60" s="1024">
        <f t="shared" si="5"/>
        <v>185</v>
      </c>
      <c r="K60" s="1013">
        <f t="shared" si="5"/>
        <v>315</v>
      </c>
      <c r="L60" s="1013">
        <f t="shared" si="5"/>
        <v>706</v>
      </c>
      <c r="M60" s="1025">
        <f t="shared" si="5"/>
        <v>1480</v>
      </c>
    </row>
  </sheetData>
  <mergeCells count="8">
    <mergeCell ref="C39:M39"/>
    <mergeCell ref="A1:P1"/>
    <mergeCell ref="A3:P3"/>
    <mergeCell ref="A5:P5"/>
    <mergeCell ref="C7:P7"/>
    <mergeCell ref="A33:M33"/>
    <mergeCell ref="A35:M35"/>
    <mergeCell ref="A37:M37"/>
  </mergeCells>
  <phoneticPr fontId="19" type="noConversion"/>
  <pageMargins left="1.3779527559055118" right="0.78740157480314965" top="1.1811023622047245" bottom="0.59055118110236227" header="0.51181102362204722" footer="0.51181102362204722"/>
  <pageSetup paperSize="5" scale="85" orientation="landscape" horizontalDpi="300" verticalDpi="300" r:id="rId1"/>
  <headerFooter alignWithMargins="0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60"/>
  <sheetViews>
    <sheetView topLeftCell="A38" zoomScale="75" workbookViewId="0">
      <selection activeCell="L71" sqref="L71"/>
    </sheetView>
  </sheetViews>
  <sheetFormatPr baseColWidth="10" defaultRowHeight="12.75"/>
  <cols>
    <col min="1" max="1" width="9.42578125" style="978" customWidth="1"/>
    <col min="2" max="2" width="26.85546875" style="978" customWidth="1"/>
    <col min="3" max="3" width="9.85546875" style="978" customWidth="1"/>
    <col min="4" max="4" width="9.7109375" style="978" customWidth="1"/>
    <col min="5" max="5" width="9.28515625" style="978" customWidth="1"/>
    <col min="6" max="6" width="9.5703125" style="978" customWidth="1"/>
    <col min="7" max="7" width="9.28515625" style="978" customWidth="1"/>
    <col min="8" max="8" width="11.42578125" style="978"/>
    <col min="9" max="10" width="9.7109375" style="978" customWidth="1"/>
    <col min="11" max="11" width="10" style="978" customWidth="1"/>
    <col min="12" max="12" width="9" style="978" customWidth="1"/>
    <col min="13" max="13" width="8.5703125" style="978" customWidth="1"/>
    <col min="14" max="14" width="9.140625" style="978" customWidth="1"/>
    <col min="15" max="16384" width="11.42578125" style="978"/>
  </cols>
  <sheetData>
    <row r="1" spans="1:16">
      <c r="A1" s="1298" t="s">
        <v>217</v>
      </c>
      <c r="B1" s="1298"/>
      <c r="C1" s="1298"/>
      <c r="D1" s="1298"/>
      <c r="E1" s="1298"/>
      <c r="F1" s="1298"/>
      <c r="G1" s="1298"/>
      <c r="H1" s="1298"/>
      <c r="I1" s="1298"/>
      <c r="J1" s="1298"/>
      <c r="K1" s="1298"/>
      <c r="L1" s="1298"/>
      <c r="M1" s="1298"/>
      <c r="N1" s="1298"/>
      <c r="O1" s="1298"/>
      <c r="P1" s="1298"/>
    </row>
    <row r="2" spans="1:16">
      <c r="A2" s="1038"/>
      <c r="B2" s="1038"/>
      <c r="C2" s="1039"/>
      <c r="D2" s="1039"/>
      <c r="E2" s="1039"/>
      <c r="F2" s="1039"/>
      <c r="G2" s="1039"/>
      <c r="H2" s="1039"/>
      <c r="I2" s="1039"/>
      <c r="J2" s="1039"/>
      <c r="K2" s="976"/>
      <c r="L2" s="976"/>
      <c r="M2" s="976"/>
      <c r="N2" s="976"/>
    </row>
    <row r="3" spans="1:16">
      <c r="A3" s="1298" t="str">
        <f>+'97'!A3</f>
        <v>SERVICIO DE SALUD   ACONCAGUA   2014</v>
      </c>
      <c r="B3" s="1298"/>
      <c r="C3" s="1298"/>
      <c r="D3" s="1298"/>
      <c r="E3" s="1298"/>
      <c r="F3" s="1298"/>
      <c r="G3" s="1298"/>
      <c r="H3" s="1298"/>
      <c r="I3" s="1298"/>
      <c r="J3" s="1298"/>
      <c r="K3" s="1298"/>
      <c r="L3" s="1298"/>
      <c r="M3" s="1298"/>
      <c r="N3" s="1298"/>
      <c r="O3" s="1298"/>
      <c r="P3" s="1298"/>
    </row>
    <row r="4" spans="1:16">
      <c r="A4" s="1038"/>
      <c r="B4" s="1038"/>
      <c r="C4" s="1039"/>
      <c r="D4" s="1039"/>
      <c r="E4" s="1039"/>
      <c r="F4" s="1039"/>
      <c r="G4" s="1039"/>
      <c r="H4" s="1039"/>
      <c r="I4" s="1039"/>
      <c r="J4" s="1039"/>
      <c r="K4" s="976"/>
      <c r="L4" s="976"/>
      <c r="M4" s="976"/>
      <c r="N4" s="976"/>
    </row>
    <row r="5" spans="1:16">
      <c r="A5" s="1298" t="s">
        <v>241</v>
      </c>
      <c r="B5" s="1298"/>
      <c r="C5" s="1298"/>
      <c r="D5" s="1298"/>
      <c r="E5" s="1298"/>
      <c r="F5" s="1298"/>
      <c r="G5" s="1298"/>
      <c r="H5" s="1298"/>
      <c r="I5" s="1298"/>
      <c r="J5" s="1298"/>
      <c r="K5" s="1298"/>
      <c r="L5" s="1298"/>
      <c r="M5" s="1298"/>
      <c r="N5" s="1298"/>
      <c r="O5" s="1298"/>
      <c r="P5" s="1298"/>
    </row>
    <row r="6" spans="1:16">
      <c r="A6" s="991"/>
    </row>
    <row r="7" spans="1:16" ht="18.75" customHeight="1">
      <c r="A7" s="992" t="s">
        <v>756</v>
      </c>
      <c r="B7" s="943"/>
      <c r="C7" s="944"/>
      <c r="D7" s="945" t="s">
        <v>757</v>
      </c>
      <c r="E7" s="945"/>
      <c r="F7" s="945"/>
      <c r="G7" s="945"/>
      <c r="H7" s="945"/>
      <c r="I7" s="945"/>
      <c r="J7" s="945"/>
      <c r="K7" s="945"/>
      <c r="L7" s="945"/>
      <c r="M7" s="945"/>
      <c r="N7" s="945"/>
      <c r="O7" s="945"/>
      <c r="P7" s="946"/>
    </row>
    <row r="8" spans="1:16" ht="23.25" customHeight="1">
      <c r="A8" s="993" t="s">
        <v>758</v>
      </c>
      <c r="B8" s="994" t="s">
        <v>759</v>
      </c>
      <c r="C8" s="995" t="s">
        <v>760</v>
      </c>
      <c r="D8" s="950" t="s">
        <v>699</v>
      </c>
      <c r="E8" s="951" t="s">
        <v>761</v>
      </c>
      <c r="F8" s="951" t="s">
        <v>762</v>
      </c>
      <c r="G8" s="951" t="s">
        <v>483</v>
      </c>
      <c r="H8" s="995" t="s">
        <v>763</v>
      </c>
      <c r="I8" s="951" t="s">
        <v>764</v>
      </c>
      <c r="J8" s="951" t="s">
        <v>445</v>
      </c>
      <c r="K8" s="951" t="s">
        <v>463</v>
      </c>
      <c r="L8" s="951" t="s">
        <v>468</v>
      </c>
      <c r="M8" s="951" t="s">
        <v>765</v>
      </c>
      <c r="N8" s="951" t="s">
        <v>470</v>
      </c>
      <c r="O8" s="951" t="s">
        <v>766</v>
      </c>
      <c r="P8" s="952" t="s">
        <v>571</v>
      </c>
    </row>
    <row r="9" spans="1:16">
      <c r="A9" s="953"/>
      <c r="B9" s="954"/>
      <c r="C9" s="997"/>
      <c r="D9" s="996"/>
      <c r="E9" s="996"/>
      <c r="F9" s="996"/>
      <c r="G9" s="996"/>
      <c r="H9" s="997"/>
      <c r="I9" s="996"/>
      <c r="J9" s="996"/>
      <c r="K9" s="996"/>
      <c r="L9" s="996"/>
      <c r="M9" s="996"/>
      <c r="N9" s="996"/>
      <c r="O9" s="996"/>
      <c r="P9" s="1021"/>
    </row>
    <row r="10" spans="1:16" ht="18" customHeight="1">
      <c r="A10" s="957" t="s">
        <v>794</v>
      </c>
      <c r="B10" s="958" t="s">
        <v>795</v>
      </c>
      <c r="C10" s="999">
        <f>SUM(D10:G10)</f>
        <v>0</v>
      </c>
      <c r="D10" s="1127"/>
      <c r="E10" s="1127"/>
      <c r="F10" s="1127"/>
      <c r="G10" s="1127"/>
      <c r="H10" s="999">
        <f>SUM(I10:N10)</f>
        <v>21</v>
      </c>
      <c r="I10" s="1000"/>
      <c r="J10" s="1000">
        <v>21</v>
      </c>
      <c r="K10" s="1000"/>
      <c r="L10" s="1000"/>
      <c r="M10" s="1000"/>
      <c r="N10" s="1000"/>
      <c r="O10" s="1000"/>
      <c r="P10" s="1036">
        <f>+O10+H10+C10</f>
        <v>21</v>
      </c>
    </row>
    <row r="11" spans="1:16" ht="20.25" customHeight="1">
      <c r="A11" s="957" t="s">
        <v>769</v>
      </c>
      <c r="B11" s="958" t="s">
        <v>770</v>
      </c>
      <c r="C11" s="999">
        <f t="shared" ref="C11:C27" si="0">SUM(D11:G11)</f>
        <v>0</v>
      </c>
      <c r="D11" s="1127"/>
      <c r="E11" s="1127"/>
      <c r="F11" s="1127"/>
      <c r="G11" s="1127"/>
      <c r="H11" s="999">
        <f t="shared" ref="H11:H27" si="1">SUM(I11:N11)</f>
        <v>19</v>
      </c>
      <c r="I11" s="1000">
        <v>1</v>
      </c>
      <c r="J11" s="1000">
        <v>18</v>
      </c>
      <c r="K11" s="1000"/>
      <c r="L11" s="1000"/>
      <c r="M11" s="1000"/>
      <c r="N11" s="1000"/>
      <c r="O11" s="1000"/>
      <c r="P11" s="1036">
        <f t="shared" ref="P11:P27" si="2">+O11+H11+C11</f>
        <v>19</v>
      </c>
    </row>
    <row r="12" spans="1:16" ht="19.5" customHeight="1">
      <c r="A12" s="957" t="s">
        <v>218</v>
      </c>
      <c r="B12" s="958" t="s">
        <v>219</v>
      </c>
      <c r="C12" s="999">
        <f t="shared" si="0"/>
        <v>0</v>
      </c>
      <c r="D12" s="1127"/>
      <c r="E12" s="1127"/>
      <c r="F12" s="1127"/>
      <c r="G12" s="1127"/>
      <c r="H12" s="999">
        <f t="shared" si="1"/>
        <v>8</v>
      </c>
      <c r="I12" s="1000"/>
      <c r="J12" s="1000">
        <v>8</v>
      </c>
      <c r="K12" s="1000"/>
      <c r="L12" s="1000"/>
      <c r="M12" s="1000"/>
      <c r="N12" s="1000"/>
      <c r="O12" s="1000"/>
      <c r="P12" s="1036">
        <f t="shared" si="2"/>
        <v>8</v>
      </c>
    </row>
    <row r="13" spans="1:16" ht="20.25" customHeight="1">
      <c r="A13" s="957" t="s">
        <v>798</v>
      </c>
      <c r="B13" s="958" t="s">
        <v>799</v>
      </c>
      <c r="C13" s="999">
        <f t="shared" si="0"/>
        <v>0</v>
      </c>
      <c r="D13" s="1127"/>
      <c r="E13" s="1127"/>
      <c r="F13" s="1127"/>
      <c r="G13" s="1127"/>
      <c r="H13" s="999">
        <f t="shared" si="1"/>
        <v>32</v>
      </c>
      <c r="I13" s="1000"/>
      <c r="J13" s="1000">
        <v>32</v>
      </c>
      <c r="K13" s="1000"/>
      <c r="L13" s="1000"/>
      <c r="M13" s="1000"/>
      <c r="N13" s="1000"/>
      <c r="O13" s="1000">
        <v>2</v>
      </c>
      <c r="P13" s="1036">
        <f t="shared" si="2"/>
        <v>34</v>
      </c>
    </row>
    <row r="14" spans="1:16" ht="19.5" customHeight="1">
      <c r="A14" s="957" t="s">
        <v>220</v>
      </c>
      <c r="B14" s="958" t="s">
        <v>221</v>
      </c>
      <c r="C14" s="999">
        <f t="shared" si="0"/>
        <v>3</v>
      </c>
      <c r="D14" s="1127">
        <v>3</v>
      </c>
      <c r="E14" s="1127"/>
      <c r="F14" s="1127"/>
      <c r="G14" s="1127"/>
      <c r="H14" s="999">
        <f t="shared" si="1"/>
        <v>53</v>
      </c>
      <c r="I14" s="1000">
        <v>8</v>
      </c>
      <c r="J14" s="1000">
        <v>44</v>
      </c>
      <c r="K14" s="1000"/>
      <c r="L14" s="1000"/>
      <c r="M14" s="1000">
        <v>1</v>
      </c>
      <c r="N14" s="1000"/>
      <c r="O14" s="1000">
        <v>2</v>
      </c>
      <c r="P14" s="1036">
        <f t="shared" si="2"/>
        <v>58</v>
      </c>
    </row>
    <row r="15" spans="1:16" ht="19.5" customHeight="1">
      <c r="A15" s="957" t="s">
        <v>222</v>
      </c>
      <c r="B15" s="958" t="s">
        <v>223</v>
      </c>
      <c r="C15" s="999">
        <f t="shared" si="0"/>
        <v>0</v>
      </c>
      <c r="D15" s="1127"/>
      <c r="E15" s="1127"/>
      <c r="F15" s="1127"/>
      <c r="G15" s="1127"/>
      <c r="H15" s="999">
        <f t="shared" si="1"/>
        <v>13</v>
      </c>
      <c r="I15" s="1000"/>
      <c r="J15" s="1000">
        <v>12</v>
      </c>
      <c r="K15" s="1000">
        <v>1</v>
      </c>
      <c r="L15" s="1000"/>
      <c r="M15" s="1000"/>
      <c r="N15" s="1000"/>
      <c r="O15" s="1000"/>
      <c r="P15" s="1036">
        <f t="shared" si="2"/>
        <v>13</v>
      </c>
    </row>
    <row r="16" spans="1:16" ht="19.5" customHeight="1">
      <c r="A16" s="957" t="s">
        <v>224</v>
      </c>
      <c r="B16" s="958" t="s">
        <v>225</v>
      </c>
      <c r="C16" s="999">
        <f>SUM(D16:G16)</f>
        <v>0</v>
      </c>
      <c r="D16" s="1127"/>
      <c r="E16" s="1127"/>
      <c r="F16" s="1127"/>
      <c r="G16" s="1127"/>
      <c r="H16" s="999">
        <f>SUM(I16:N16)</f>
        <v>2</v>
      </c>
      <c r="I16" s="1000"/>
      <c r="J16" s="1000">
        <v>2</v>
      </c>
      <c r="K16" s="1000"/>
      <c r="L16" s="1000"/>
      <c r="M16" s="1000"/>
      <c r="N16" s="1000"/>
      <c r="O16" s="1000"/>
      <c r="P16" s="1036">
        <f>+O16+H16+C16</f>
        <v>2</v>
      </c>
    </row>
    <row r="17" spans="1:16" ht="20.25" customHeight="1">
      <c r="A17" s="957" t="s">
        <v>767</v>
      </c>
      <c r="B17" s="958" t="s">
        <v>768</v>
      </c>
      <c r="C17" s="999">
        <f t="shared" si="0"/>
        <v>0</v>
      </c>
      <c r="D17" s="1127"/>
      <c r="E17" s="1127"/>
      <c r="F17" s="1127"/>
      <c r="G17" s="1127"/>
      <c r="H17" s="999">
        <f t="shared" si="1"/>
        <v>92</v>
      </c>
      <c r="I17" s="1000">
        <v>4</v>
      </c>
      <c r="J17" s="1000">
        <v>87</v>
      </c>
      <c r="K17" s="1000">
        <v>1</v>
      </c>
      <c r="L17" s="1000"/>
      <c r="M17" s="1000"/>
      <c r="N17" s="1000"/>
      <c r="O17" s="1000"/>
      <c r="P17" s="1036">
        <f t="shared" si="2"/>
        <v>92</v>
      </c>
    </row>
    <row r="18" spans="1:16" ht="19.5" customHeight="1">
      <c r="A18" s="957" t="s">
        <v>771</v>
      </c>
      <c r="B18" s="958" t="s">
        <v>772</v>
      </c>
      <c r="C18" s="999">
        <f t="shared" si="0"/>
        <v>0</v>
      </c>
      <c r="D18" s="1127"/>
      <c r="E18" s="1127"/>
      <c r="F18" s="1127"/>
      <c r="G18" s="1127"/>
      <c r="H18" s="999">
        <f t="shared" si="1"/>
        <v>125</v>
      </c>
      <c r="I18" s="1000">
        <v>2</v>
      </c>
      <c r="J18" s="1000">
        <v>122</v>
      </c>
      <c r="K18" s="1000">
        <v>1</v>
      </c>
      <c r="L18" s="1000"/>
      <c r="M18" s="1000"/>
      <c r="N18" s="1000"/>
      <c r="O18" s="1000">
        <v>3</v>
      </c>
      <c r="P18" s="1036">
        <f t="shared" si="2"/>
        <v>128</v>
      </c>
    </row>
    <row r="19" spans="1:16" ht="19.5" customHeight="1">
      <c r="A19" s="957" t="s">
        <v>790</v>
      </c>
      <c r="B19" s="958" t="s">
        <v>791</v>
      </c>
      <c r="C19" s="999">
        <f t="shared" si="0"/>
        <v>0</v>
      </c>
      <c r="D19" s="1127"/>
      <c r="E19" s="1127"/>
      <c r="F19" s="1127"/>
      <c r="G19" s="1127"/>
      <c r="H19" s="999">
        <f t="shared" si="1"/>
        <v>53</v>
      </c>
      <c r="I19" s="1000">
        <v>4</v>
      </c>
      <c r="J19" s="1000">
        <v>49</v>
      </c>
      <c r="K19" s="1000"/>
      <c r="L19" s="1000"/>
      <c r="M19" s="1000"/>
      <c r="N19" s="1000"/>
      <c r="O19" s="1000">
        <v>2</v>
      </c>
      <c r="P19" s="1036">
        <f t="shared" si="2"/>
        <v>55</v>
      </c>
    </row>
    <row r="20" spans="1:16" ht="18.75" customHeight="1">
      <c r="A20" s="957" t="s">
        <v>226</v>
      </c>
      <c r="B20" s="958" t="s">
        <v>227</v>
      </c>
      <c r="C20" s="999">
        <f t="shared" si="0"/>
        <v>0</v>
      </c>
      <c r="D20" s="1127"/>
      <c r="E20" s="1001"/>
      <c r="F20" s="1127"/>
      <c r="G20" s="1127"/>
      <c r="H20" s="999">
        <f t="shared" si="1"/>
        <v>22</v>
      </c>
      <c r="I20" s="1000"/>
      <c r="J20" s="1000">
        <v>22</v>
      </c>
      <c r="K20" s="1000"/>
      <c r="L20" s="1000"/>
      <c r="M20" s="1000"/>
      <c r="N20" s="1000"/>
      <c r="O20" s="1000"/>
      <c r="P20" s="1036">
        <f t="shared" si="2"/>
        <v>22</v>
      </c>
    </row>
    <row r="21" spans="1:16" ht="19.5" customHeight="1">
      <c r="A21" s="957" t="s">
        <v>228</v>
      </c>
      <c r="B21" s="958" t="s">
        <v>229</v>
      </c>
      <c r="C21" s="999">
        <f t="shared" si="0"/>
        <v>0</v>
      </c>
      <c r="D21" s="1127"/>
      <c r="E21" s="1001"/>
      <c r="F21" s="1127"/>
      <c r="G21" s="1127"/>
      <c r="H21" s="999">
        <f t="shared" si="1"/>
        <v>4</v>
      </c>
      <c r="I21" s="1000"/>
      <c r="J21" s="1000">
        <v>4</v>
      </c>
      <c r="K21" s="1000"/>
      <c r="L21" s="1000"/>
      <c r="M21" s="1000"/>
      <c r="N21" s="1000"/>
      <c r="O21" s="1000">
        <v>1</v>
      </c>
      <c r="P21" s="1036">
        <f t="shared" si="2"/>
        <v>5</v>
      </c>
    </row>
    <row r="22" spans="1:16" ht="19.5" customHeight="1">
      <c r="A22" s="957" t="s">
        <v>792</v>
      </c>
      <c r="B22" s="958" t="s">
        <v>793</v>
      </c>
      <c r="C22" s="999">
        <f t="shared" si="0"/>
        <v>0</v>
      </c>
      <c r="D22" s="1127"/>
      <c r="E22" s="1127"/>
      <c r="F22" s="1127"/>
      <c r="G22" s="1127"/>
      <c r="H22" s="999">
        <f t="shared" si="1"/>
        <v>70</v>
      </c>
      <c r="I22" s="1000">
        <v>3</v>
      </c>
      <c r="J22" s="1000">
        <v>66</v>
      </c>
      <c r="K22" s="1000"/>
      <c r="L22" s="1000">
        <v>1</v>
      </c>
      <c r="M22" s="1000"/>
      <c r="N22" s="1000"/>
      <c r="O22" s="1000">
        <v>1</v>
      </c>
      <c r="P22" s="1036">
        <f t="shared" si="2"/>
        <v>71</v>
      </c>
    </row>
    <row r="23" spans="1:16" ht="18.75" customHeight="1">
      <c r="A23" s="957" t="s">
        <v>230</v>
      </c>
      <c r="B23" s="958" t="s">
        <v>231</v>
      </c>
      <c r="C23" s="999">
        <f t="shared" si="0"/>
        <v>0</v>
      </c>
      <c r="D23" s="1127"/>
      <c r="E23" s="1127"/>
      <c r="F23" s="1127"/>
      <c r="G23" s="1127"/>
      <c r="H23" s="999">
        <f t="shared" si="1"/>
        <v>0</v>
      </c>
      <c r="I23" s="1000"/>
      <c r="J23" s="1000"/>
      <c r="K23" s="1000"/>
      <c r="L23" s="1000"/>
      <c r="M23" s="1000"/>
      <c r="N23" s="1000"/>
      <c r="O23" s="1000"/>
      <c r="P23" s="1036">
        <f t="shared" si="2"/>
        <v>0</v>
      </c>
    </row>
    <row r="24" spans="1:16" ht="19.5" customHeight="1">
      <c r="A24" s="957" t="s">
        <v>800</v>
      </c>
      <c r="B24" s="958" t="s">
        <v>801</v>
      </c>
      <c r="C24" s="999">
        <f t="shared" si="0"/>
        <v>0</v>
      </c>
      <c r="D24" s="1127"/>
      <c r="E24" s="1001"/>
      <c r="F24" s="1127"/>
      <c r="G24" s="1127"/>
      <c r="H24" s="999">
        <f t="shared" si="1"/>
        <v>0</v>
      </c>
      <c r="I24" s="1000"/>
      <c r="J24" s="1000"/>
      <c r="K24" s="1000"/>
      <c r="L24" s="1000"/>
      <c r="M24" s="1000"/>
      <c r="N24" s="1000"/>
      <c r="O24" s="1000"/>
      <c r="P24" s="1036">
        <f t="shared" si="2"/>
        <v>0</v>
      </c>
    </row>
    <row r="25" spans="1:16" ht="20.25" customHeight="1">
      <c r="A25" s="957" t="s">
        <v>802</v>
      </c>
      <c r="B25" s="958" t="s">
        <v>803</v>
      </c>
      <c r="C25" s="999">
        <f t="shared" si="0"/>
        <v>0</v>
      </c>
      <c r="D25" s="1127"/>
      <c r="E25" s="1127"/>
      <c r="F25" s="1127"/>
      <c r="G25" s="1127"/>
      <c r="H25" s="999">
        <f t="shared" si="1"/>
        <v>1</v>
      </c>
      <c r="I25" s="1000">
        <v>1</v>
      </c>
      <c r="J25" s="1000"/>
      <c r="K25" s="1000"/>
      <c r="L25" s="1000"/>
      <c r="M25" s="1000"/>
      <c r="N25" s="1000"/>
      <c r="O25" s="1000"/>
      <c r="P25" s="1036">
        <f t="shared" si="2"/>
        <v>1</v>
      </c>
    </row>
    <row r="26" spans="1:16" ht="21.75" customHeight="1">
      <c r="A26" s="957" t="s">
        <v>796</v>
      </c>
      <c r="B26" s="958" t="s">
        <v>817</v>
      </c>
      <c r="C26" s="999">
        <f t="shared" si="0"/>
        <v>0</v>
      </c>
      <c r="D26" s="1127"/>
      <c r="E26" s="1127"/>
      <c r="F26" s="1127"/>
      <c r="G26" s="1127"/>
      <c r="H26" s="999">
        <f t="shared" si="1"/>
        <v>33</v>
      </c>
      <c r="I26" s="1000">
        <v>2</v>
      </c>
      <c r="J26" s="1000">
        <v>31</v>
      </c>
      <c r="K26" s="1000"/>
      <c r="L26" s="1000"/>
      <c r="M26" s="1000"/>
      <c r="N26" s="1000"/>
      <c r="O26" s="1000"/>
      <c r="P26" s="1036">
        <f t="shared" si="2"/>
        <v>33</v>
      </c>
    </row>
    <row r="27" spans="1:16" ht="27.75" customHeight="1">
      <c r="A27" s="957" t="s">
        <v>788</v>
      </c>
      <c r="B27" s="963" t="s">
        <v>232</v>
      </c>
      <c r="C27" s="999">
        <f t="shared" si="0"/>
        <v>2</v>
      </c>
      <c r="D27" s="1127">
        <v>2</v>
      </c>
      <c r="E27" s="1127"/>
      <c r="F27" s="1127"/>
      <c r="G27" s="1127"/>
      <c r="H27" s="999">
        <f t="shared" si="1"/>
        <v>42</v>
      </c>
      <c r="I27" s="1000">
        <v>4</v>
      </c>
      <c r="J27" s="1000">
        <v>38</v>
      </c>
      <c r="K27" s="1000"/>
      <c r="L27" s="1000"/>
      <c r="M27" s="1000"/>
      <c r="N27" s="1000"/>
      <c r="O27" s="1000">
        <v>2</v>
      </c>
      <c r="P27" s="1036">
        <f t="shared" si="2"/>
        <v>46</v>
      </c>
    </row>
    <row r="28" spans="1:16" ht="21.75" customHeight="1">
      <c r="A28" s="964"/>
      <c r="B28" s="964" t="s">
        <v>923</v>
      </c>
      <c r="C28" s="1012">
        <f>SUM(C10:C27)</f>
        <v>5</v>
      </c>
      <c r="D28" s="1013">
        <f t="shared" ref="D28:P28" si="3">SUM(D10:D27)</f>
        <v>5</v>
      </c>
      <c r="E28" s="1013">
        <f t="shared" si="3"/>
        <v>0</v>
      </c>
      <c r="F28" s="1013">
        <f t="shared" si="3"/>
        <v>0</v>
      </c>
      <c r="G28" s="1013">
        <f t="shared" si="3"/>
        <v>0</v>
      </c>
      <c r="H28" s="1012">
        <f t="shared" si="3"/>
        <v>590</v>
      </c>
      <c r="I28" s="1013">
        <f t="shared" si="3"/>
        <v>29</v>
      </c>
      <c r="J28" s="1013">
        <f t="shared" si="3"/>
        <v>556</v>
      </c>
      <c r="K28" s="1013">
        <f t="shared" si="3"/>
        <v>3</v>
      </c>
      <c r="L28" s="1013">
        <f t="shared" si="3"/>
        <v>1</v>
      </c>
      <c r="M28" s="1013">
        <f t="shared" si="3"/>
        <v>1</v>
      </c>
      <c r="N28" s="1013">
        <f t="shared" si="3"/>
        <v>0</v>
      </c>
      <c r="O28" s="1013">
        <f t="shared" si="3"/>
        <v>13</v>
      </c>
      <c r="P28" s="1025">
        <f t="shared" si="3"/>
        <v>608</v>
      </c>
    </row>
    <row r="29" spans="1:16" ht="21.75" customHeight="1">
      <c r="A29" s="969"/>
      <c r="B29" s="969"/>
      <c r="C29" s="1002"/>
      <c r="D29" s="1002"/>
      <c r="E29" s="1002"/>
      <c r="F29" s="1002"/>
      <c r="G29" s="1002"/>
      <c r="H29" s="1002"/>
      <c r="I29" s="1002"/>
      <c r="J29" s="1002"/>
      <c r="K29" s="1002"/>
      <c r="L29" s="1002"/>
      <c r="M29" s="1002"/>
      <c r="N29" s="1014"/>
      <c r="O29" s="1000"/>
      <c r="P29" s="1000"/>
    </row>
    <row r="30" spans="1:16" ht="21.75" customHeight="1">
      <c r="A30" s="969"/>
      <c r="B30" s="969"/>
      <c r="C30" s="1002"/>
      <c r="D30" s="1002"/>
      <c r="E30" s="1002"/>
      <c r="F30" s="1002"/>
      <c r="G30" s="1002"/>
      <c r="H30" s="1002"/>
      <c r="I30" s="1002"/>
      <c r="J30" s="1002"/>
      <c r="K30" s="1002"/>
      <c r="L30" s="1002"/>
      <c r="M30" s="1002"/>
      <c r="N30" s="1014"/>
      <c r="O30" s="1000"/>
      <c r="P30" s="1000"/>
    </row>
    <row r="31" spans="1:16" ht="21.75" customHeight="1">
      <c r="A31" s="969"/>
      <c r="B31" s="969"/>
      <c r="C31" s="1002"/>
      <c r="D31" s="1002"/>
      <c r="E31" s="1002"/>
      <c r="F31" s="1002"/>
      <c r="G31" s="1002"/>
      <c r="H31" s="1002"/>
      <c r="I31" s="1002"/>
      <c r="J31" s="1002"/>
      <c r="K31" s="1002"/>
      <c r="L31" s="1002"/>
      <c r="M31" s="1002"/>
      <c r="N31" s="1014"/>
      <c r="O31" s="1000"/>
      <c r="P31" s="1000"/>
    </row>
    <row r="32" spans="1:16" ht="21.75" customHeight="1">
      <c r="A32" s="969"/>
      <c r="B32" s="969"/>
      <c r="C32" s="1002"/>
      <c r="D32" s="1002"/>
      <c r="E32" s="1002"/>
      <c r="F32" s="1002"/>
      <c r="G32" s="1002"/>
      <c r="H32" s="1002"/>
      <c r="I32" s="1002"/>
      <c r="J32" s="1002"/>
      <c r="K32" s="1002"/>
      <c r="L32" s="1002"/>
      <c r="M32" s="1002"/>
      <c r="N32" s="1014"/>
      <c r="O32" s="1000"/>
      <c r="P32" s="1000"/>
    </row>
    <row r="33" spans="1:16">
      <c r="A33" s="1297" t="s">
        <v>233</v>
      </c>
      <c r="B33" s="1297"/>
      <c r="C33" s="1297"/>
      <c r="D33" s="1297"/>
      <c r="E33" s="1297"/>
      <c r="F33" s="1297"/>
      <c r="G33" s="1297"/>
      <c r="H33" s="1297"/>
      <c r="I33" s="1297"/>
      <c r="J33" s="1297"/>
      <c r="K33" s="1297"/>
      <c r="L33" s="1297"/>
      <c r="M33" s="1297"/>
      <c r="N33" s="1016"/>
      <c r="O33" s="1000"/>
      <c r="P33" s="1000"/>
    </row>
    <row r="34" spans="1:16">
      <c r="A34" s="1040"/>
      <c r="B34" s="1040"/>
      <c r="C34" s="1026"/>
      <c r="D34" s="1026"/>
      <c r="E34" s="1026"/>
      <c r="F34" s="1026"/>
      <c r="G34" s="1026"/>
      <c r="H34" s="1026"/>
      <c r="I34" s="1000"/>
      <c r="J34" s="1000"/>
      <c r="K34" s="1000"/>
      <c r="L34" s="1000"/>
      <c r="M34" s="1000"/>
      <c r="N34" s="1000"/>
      <c r="O34" s="1000"/>
      <c r="P34" s="1000"/>
    </row>
    <row r="35" spans="1:16">
      <c r="A35" s="1297" t="str">
        <f>+A3</f>
        <v>SERVICIO DE SALUD   ACONCAGUA   2014</v>
      </c>
      <c r="B35" s="1297"/>
      <c r="C35" s="1297"/>
      <c r="D35" s="1297"/>
      <c r="E35" s="1297"/>
      <c r="F35" s="1297"/>
      <c r="G35" s="1297"/>
      <c r="H35" s="1297"/>
      <c r="I35" s="1297"/>
      <c r="J35" s="1297"/>
      <c r="K35" s="1297"/>
      <c r="L35" s="1297"/>
      <c r="M35" s="1297"/>
      <c r="N35" s="1000"/>
      <c r="O35" s="1000"/>
      <c r="P35" s="1000"/>
    </row>
    <row r="36" spans="1:16">
      <c r="A36" s="1040"/>
      <c r="B36" s="1040"/>
      <c r="C36" s="1026"/>
      <c r="D36" s="1026"/>
      <c r="E36" s="1026"/>
      <c r="F36" s="1026"/>
      <c r="G36" s="1026"/>
      <c r="H36" s="1026"/>
      <c r="I36" s="1000"/>
      <c r="J36" s="1000"/>
      <c r="K36" s="1000"/>
      <c r="L36" s="1000"/>
      <c r="M36" s="1000"/>
      <c r="N36" s="1000"/>
      <c r="O36" s="1000"/>
      <c r="P36" s="1000"/>
    </row>
    <row r="37" spans="1:16">
      <c r="A37" s="1297" t="s">
        <v>241</v>
      </c>
      <c r="B37" s="1297"/>
      <c r="C37" s="1297"/>
      <c r="D37" s="1297"/>
      <c r="E37" s="1297"/>
      <c r="F37" s="1297"/>
      <c r="G37" s="1297"/>
      <c r="H37" s="1297"/>
      <c r="I37" s="1297"/>
      <c r="J37" s="1297"/>
      <c r="K37" s="1297"/>
      <c r="L37" s="1297"/>
      <c r="M37" s="1297"/>
      <c r="N37" s="1041"/>
      <c r="O37" s="1000"/>
      <c r="P37" s="1000"/>
    </row>
    <row r="38" spans="1:16">
      <c r="C38" s="1000"/>
      <c r="D38" s="1000"/>
      <c r="E38" s="1000"/>
      <c r="F38" s="1000"/>
      <c r="G38" s="1000"/>
      <c r="H38" s="1000"/>
      <c r="I38" s="1000"/>
      <c r="J38" s="1000"/>
      <c r="K38" s="1000"/>
      <c r="L38" s="1000"/>
      <c r="M38" s="1000"/>
      <c r="N38" s="1000"/>
      <c r="O38" s="1000"/>
      <c r="P38" s="1000"/>
    </row>
    <row r="39" spans="1:16" ht="21.75" customHeight="1">
      <c r="A39" s="992" t="s">
        <v>756</v>
      </c>
      <c r="B39" s="943"/>
      <c r="C39" s="1294" t="s">
        <v>805</v>
      </c>
      <c r="D39" s="1295"/>
      <c r="E39" s="1295"/>
      <c r="F39" s="1295"/>
      <c r="G39" s="1295"/>
      <c r="H39" s="1295"/>
      <c r="I39" s="1295"/>
      <c r="J39" s="1295"/>
      <c r="K39" s="1295"/>
      <c r="L39" s="1295"/>
      <c r="M39" s="1296"/>
      <c r="N39" s="1018"/>
      <c r="O39" s="1000"/>
      <c r="P39" s="1000"/>
    </row>
    <row r="40" spans="1:16" ht="23.25" customHeight="1">
      <c r="A40" s="993" t="s">
        <v>758</v>
      </c>
      <c r="B40" s="994" t="s">
        <v>759</v>
      </c>
      <c r="C40" s="1019" t="s">
        <v>807</v>
      </c>
      <c r="D40" s="1019" t="s">
        <v>808</v>
      </c>
      <c r="E40" s="1019" t="s">
        <v>809</v>
      </c>
      <c r="F40" s="1019" t="s">
        <v>810</v>
      </c>
      <c r="G40" s="1019" t="s">
        <v>811</v>
      </c>
      <c r="H40" s="1019" t="s">
        <v>812</v>
      </c>
      <c r="I40" s="1019" t="s">
        <v>813</v>
      </c>
      <c r="J40" s="1019" t="s">
        <v>814</v>
      </c>
      <c r="K40" s="1019" t="s">
        <v>815</v>
      </c>
      <c r="L40" s="1019" t="s">
        <v>816</v>
      </c>
      <c r="M40" s="1020" t="s">
        <v>571</v>
      </c>
      <c r="N40" s="1000"/>
      <c r="O40" s="1000"/>
      <c r="P40" s="1000"/>
    </row>
    <row r="41" spans="1:16">
      <c r="A41" s="953"/>
      <c r="B41" s="954"/>
      <c r="C41" s="996"/>
      <c r="D41" s="996"/>
      <c r="E41" s="996"/>
      <c r="F41" s="996"/>
      <c r="G41" s="996"/>
      <c r="H41" s="996"/>
      <c r="I41" s="996"/>
      <c r="J41" s="996"/>
      <c r="K41" s="996"/>
      <c r="L41" s="996"/>
      <c r="M41" s="1021"/>
      <c r="N41" s="1000"/>
      <c r="O41" s="1000"/>
      <c r="P41" s="1000"/>
    </row>
    <row r="42" spans="1:16" ht="20.25" customHeight="1">
      <c r="A42" s="957" t="s">
        <v>794</v>
      </c>
      <c r="B42" s="958" t="s">
        <v>795</v>
      </c>
      <c r="C42" s="1000"/>
      <c r="D42" s="1000"/>
      <c r="E42" s="1000"/>
      <c r="F42" s="1000"/>
      <c r="G42" s="1000"/>
      <c r="H42" s="1000"/>
      <c r="I42" s="1000">
        <v>1</v>
      </c>
      <c r="J42" s="1000">
        <v>4</v>
      </c>
      <c r="K42" s="1000">
        <v>12</v>
      </c>
      <c r="L42" s="1000">
        <v>4</v>
      </c>
      <c r="M42" s="1036">
        <f t="shared" ref="M42:M59" si="4">SUM(B42:L42)</f>
        <v>21</v>
      </c>
      <c r="N42" s="1000"/>
      <c r="O42" s="1000"/>
      <c r="P42" s="1000"/>
    </row>
    <row r="43" spans="1:16" ht="19.5" customHeight="1">
      <c r="A43" s="957" t="s">
        <v>769</v>
      </c>
      <c r="B43" s="958" t="s">
        <v>770</v>
      </c>
      <c r="C43" s="1000"/>
      <c r="D43" s="1000"/>
      <c r="E43" s="1000"/>
      <c r="F43" s="1000"/>
      <c r="G43" s="1000"/>
      <c r="H43" s="1000"/>
      <c r="I43" s="1000">
        <v>1</v>
      </c>
      <c r="J43" s="1000"/>
      <c r="K43" s="1001">
        <v>6</v>
      </c>
      <c r="L43" s="1000">
        <v>12</v>
      </c>
      <c r="M43" s="1036">
        <f t="shared" si="4"/>
        <v>19</v>
      </c>
      <c r="N43" s="1000"/>
      <c r="O43" s="1000"/>
      <c r="P43" s="1000"/>
    </row>
    <row r="44" spans="1:16" ht="18" customHeight="1">
      <c r="A44" s="957" t="s">
        <v>218</v>
      </c>
      <c r="B44" s="958" t="s">
        <v>219</v>
      </c>
      <c r="C44" s="1000"/>
      <c r="D44" s="1000"/>
      <c r="E44" s="1000"/>
      <c r="F44" s="1000"/>
      <c r="G44" s="1000"/>
      <c r="H44" s="1000"/>
      <c r="I44" s="1000"/>
      <c r="J44" s="1000"/>
      <c r="K44" s="1000"/>
      <c r="L44" s="1000">
        <v>8</v>
      </c>
      <c r="M44" s="1036">
        <f t="shared" si="4"/>
        <v>8</v>
      </c>
      <c r="N44" s="1000"/>
      <c r="O44" s="1000"/>
      <c r="P44" s="1000"/>
    </row>
    <row r="45" spans="1:16" ht="19.5" customHeight="1">
      <c r="A45" s="957" t="s">
        <v>798</v>
      </c>
      <c r="B45" s="958" t="s">
        <v>799</v>
      </c>
      <c r="C45" s="1000"/>
      <c r="D45" s="1000"/>
      <c r="E45" s="1000"/>
      <c r="F45" s="1000"/>
      <c r="G45" s="1000"/>
      <c r="H45" s="1000"/>
      <c r="I45" s="1000"/>
      <c r="J45" s="1000">
        <v>4</v>
      </c>
      <c r="K45" s="1000">
        <v>13</v>
      </c>
      <c r="L45" s="1000">
        <v>17</v>
      </c>
      <c r="M45" s="1036">
        <f t="shared" si="4"/>
        <v>34</v>
      </c>
      <c r="N45" s="1000"/>
      <c r="O45" s="1000"/>
      <c r="P45" s="1000"/>
    </row>
    <row r="46" spans="1:16" ht="19.5" customHeight="1">
      <c r="A46" s="957" t="s">
        <v>220</v>
      </c>
      <c r="B46" s="958" t="s">
        <v>221</v>
      </c>
      <c r="C46" s="1000"/>
      <c r="D46" s="1000"/>
      <c r="E46" s="1000"/>
      <c r="F46" s="1000"/>
      <c r="G46" s="1000"/>
      <c r="H46" s="1000"/>
      <c r="I46" s="1000">
        <v>3</v>
      </c>
      <c r="J46" s="1000">
        <v>21</v>
      </c>
      <c r="K46" s="1000">
        <v>24</v>
      </c>
      <c r="L46" s="1000">
        <v>10</v>
      </c>
      <c r="M46" s="1036">
        <f t="shared" si="4"/>
        <v>58</v>
      </c>
      <c r="N46" s="1000"/>
      <c r="O46" s="1000"/>
      <c r="P46" s="1000"/>
    </row>
    <row r="47" spans="1:16" ht="19.5" customHeight="1">
      <c r="A47" s="957" t="s">
        <v>222</v>
      </c>
      <c r="B47" s="958" t="s">
        <v>223</v>
      </c>
      <c r="C47" s="1000"/>
      <c r="D47" s="1000"/>
      <c r="E47" s="1000"/>
      <c r="F47" s="1000"/>
      <c r="G47" s="1000"/>
      <c r="H47" s="1000"/>
      <c r="I47" s="1000"/>
      <c r="J47" s="1000">
        <v>3</v>
      </c>
      <c r="K47" s="1000">
        <v>5</v>
      </c>
      <c r="L47" s="1000">
        <v>5</v>
      </c>
      <c r="M47" s="1036">
        <f t="shared" si="4"/>
        <v>13</v>
      </c>
      <c r="N47" s="1000"/>
      <c r="O47" s="1000"/>
      <c r="P47" s="1000"/>
    </row>
    <row r="48" spans="1:16" ht="19.5" customHeight="1">
      <c r="A48" s="957" t="s">
        <v>224</v>
      </c>
      <c r="B48" s="958" t="s">
        <v>225</v>
      </c>
      <c r="C48" s="1000"/>
      <c r="D48" s="1000"/>
      <c r="E48" s="1000"/>
      <c r="F48" s="1000"/>
      <c r="G48" s="1000"/>
      <c r="H48" s="1000"/>
      <c r="I48" s="1000"/>
      <c r="J48" s="1001">
        <v>1</v>
      </c>
      <c r="K48" s="1000">
        <v>1</v>
      </c>
      <c r="L48" s="1000"/>
      <c r="M48" s="1036">
        <f t="shared" si="4"/>
        <v>2</v>
      </c>
      <c r="N48" s="1000"/>
      <c r="O48" s="1000"/>
      <c r="P48" s="1000"/>
    </row>
    <row r="49" spans="1:16" ht="18" customHeight="1">
      <c r="A49" s="957" t="s">
        <v>767</v>
      </c>
      <c r="B49" s="958" t="s">
        <v>768</v>
      </c>
      <c r="C49" s="1000"/>
      <c r="D49" s="1000"/>
      <c r="E49" s="1000"/>
      <c r="F49" s="1000"/>
      <c r="G49" s="1000"/>
      <c r="H49" s="1000"/>
      <c r="I49" s="1000"/>
      <c r="J49" s="1000">
        <v>6</v>
      </c>
      <c r="K49" s="1000">
        <v>14</v>
      </c>
      <c r="L49" s="1000">
        <v>72</v>
      </c>
      <c r="M49" s="1036">
        <f t="shared" si="4"/>
        <v>92</v>
      </c>
      <c r="N49" s="1000"/>
      <c r="O49" s="1000"/>
      <c r="P49" s="1000"/>
    </row>
    <row r="50" spans="1:16" ht="18.75" customHeight="1">
      <c r="A50" s="957" t="s">
        <v>771</v>
      </c>
      <c r="B50" s="958" t="s">
        <v>772</v>
      </c>
      <c r="C50" s="1000"/>
      <c r="D50" s="1000"/>
      <c r="E50" s="1000"/>
      <c r="F50" s="1000"/>
      <c r="G50" s="1000"/>
      <c r="H50" s="1000"/>
      <c r="I50" s="1000">
        <v>1</v>
      </c>
      <c r="J50" s="1000">
        <v>6</v>
      </c>
      <c r="K50" s="1000">
        <v>27</v>
      </c>
      <c r="L50" s="1000">
        <v>94</v>
      </c>
      <c r="M50" s="1036">
        <f t="shared" si="4"/>
        <v>128</v>
      </c>
      <c r="N50" s="1000"/>
      <c r="O50" s="1000"/>
      <c r="P50" s="1000"/>
    </row>
    <row r="51" spans="1:16" ht="19.5" customHeight="1">
      <c r="A51" s="957" t="s">
        <v>790</v>
      </c>
      <c r="B51" s="958" t="s">
        <v>791</v>
      </c>
      <c r="C51" s="1000"/>
      <c r="D51" s="1000"/>
      <c r="E51" s="1000"/>
      <c r="F51" s="1000"/>
      <c r="G51" s="1000"/>
      <c r="H51" s="1000"/>
      <c r="I51" s="1000"/>
      <c r="J51" s="1000">
        <v>11</v>
      </c>
      <c r="K51" s="1000">
        <v>11</v>
      </c>
      <c r="L51" s="1000">
        <v>33</v>
      </c>
      <c r="M51" s="1036">
        <f t="shared" si="4"/>
        <v>55</v>
      </c>
      <c r="N51" s="1000"/>
      <c r="O51" s="1000"/>
      <c r="P51" s="1000"/>
    </row>
    <row r="52" spans="1:16" ht="18" customHeight="1">
      <c r="A52" s="957" t="s">
        <v>226</v>
      </c>
      <c r="B52" s="958" t="s">
        <v>227</v>
      </c>
      <c r="C52" s="1000"/>
      <c r="D52" s="1000"/>
      <c r="E52" s="1000"/>
      <c r="F52" s="1000"/>
      <c r="G52" s="1000"/>
      <c r="H52" s="1000"/>
      <c r="I52" s="1000">
        <v>1</v>
      </c>
      <c r="J52" s="1000">
        <v>2</v>
      </c>
      <c r="K52" s="1000">
        <v>8</v>
      </c>
      <c r="L52" s="1000">
        <v>11</v>
      </c>
      <c r="M52" s="1036">
        <f t="shared" si="4"/>
        <v>22</v>
      </c>
      <c r="N52" s="1000"/>
      <c r="O52" s="1000"/>
      <c r="P52" s="1000"/>
    </row>
    <row r="53" spans="1:16" ht="19.5" customHeight="1">
      <c r="A53" s="957" t="s">
        <v>228</v>
      </c>
      <c r="B53" s="958" t="s">
        <v>229</v>
      </c>
      <c r="C53" s="1000"/>
      <c r="D53" s="1000"/>
      <c r="E53" s="1000"/>
      <c r="F53" s="1000"/>
      <c r="G53" s="1000"/>
      <c r="H53" s="1000"/>
      <c r="I53" s="1000"/>
      <c r="J53" s="1000"/>
      <c r="K53" s="1000">
        <v>3</v>
      </c>
      <c r="L53" s="1000">
        <v>2</v>
      </c>
      <c r="M53" s="1036">
        <f t="shared" si="4"/>
        <v>5</v>
      </c>
      <c r="N53" s="1000"/>
      <c r="O53" s="1000"/>
      <c r="P53" s="1000"/>
    </row>
    <row r="54" spans="1:16" ht="18.75" customHeight="1">
      <c r="A54" s="957" t="s">
        <v>792</v>
      </c>
      <c r="B54" s="958" t="s">
        <v>793</v>
      </c>
      <c r="C54" s="1000"/>
      <c r="D54" s="1000"/>
      <c r="E54" s="1000"/>
      <c r="F54" s="1000"/>
      <c r="G54" s="1000"/>
      <c r="H54" s="1000"/>
      <c r="I54" s="1000">
        <v>1</v>
      </c>
      <c r="J54" s="1000">
        <v>9</v>
      </c>
      <c r="K54" s="1000">
        <v>13</v>
      </c>
      <c r="L54" s="1000">
        <v>48</v>
      </c>
      <c r="M54" s="1036">
        <f t="shared" si="4"/>
        <v>71</v>
      </c>
      <c r="N54" s="1000"/>
      <c r="O54" s="1000"/>
      <c r="P54" s="1000"/>
    </row>
    <row r="55" spans="1:16" ht="18.75" customHeight="1">
      <c r="A55" s="957" t="s">
        <v>230</v>
      </c>
      <c r="B55" s="958" t="s">
        <v>231</v>
      </c>
      <c r="C55" s="1000"/>
      <c r="D55" s="1000"/>
      <c r="E55" s="1000"/>
      <c r="F55" s="1000"/>
      <c r="G55" s="1000"/>
      <c r="H55" s="1000"/>
      <c r="I55" s="1000"/>
      <c r="J55" s="1000"/>
      <c r="K55" s="1000"/>
      <c r="L55" s="1000"/>
      <c r="M55" s="1036">
        <f t="shared" si="4"/>
        <v>0</v>
      </c>
      <c r="N55" s="1000"/>
      <c r="O55" s="1000"/>
      <c r="P55" s="1000"/>
    </row>
    <row r="56" spans="1:16" ht="18" customHeight="1">
      <c r="A56" s="957" t="s">
        <v>800</v>
      </c>
      <c r="B56" s="958" t="s">
        <v>801</v>
      </c>
      <c r="C56" s="1000"/>
      <c r="D56" s="1000"/>
      <c r="E56" s="1000"/>
      <c r="F56" s="1000"/>
      <c r="G56" s="1000"/>
      <c r="H56" s="1000"/>
      <c r="I56" s="1000"/>
      <c r="J56" s="1000"/>
      <c r="K56" s="1000"/>
      <c r="L56" s="1000"/>
      <c r="M56" s="1036">
        <f t="shared" si="4"/>
        <v>0</v>
      </c>
      <c r="N56" s="1000"/>
      <c r="O56" s="1000"/>
      <c r="P56" s="1000"/>
    </row>
    <row r="57" spans="1:16" ht="20.25" customHeight="1">
      <c r="A57" s="957" t="s">
        <v>802</v>
      </c>
      <c r="B57" s="958" t="s">
        <v>803</v>
      </c>
      <c r="C57" s="1000"/>
      <c r="D57" s="1000"/>
      <c r="E57" s="1000"/>
      <c r="F57" s="1000"/>
      <c r="G57" s="1000"/>
      <c r="H57" s="1000"/>
      <c r="I57" s="1000"/>
      <c r="J57" s="1000">
        <v>1</v>
      </c>
      <c r="K57" s="1000"/>
      <c r="L57" s="1000"/>
      <c r="M57" s="1036">
        <f t="shared" si="4"/>
        <v>1</v>
      </c>
      <c r="N57" s="1000"/>
      <c r="O57" s="1000"/>
      <c r="P57" s="1000"/>
    </row>
    <row r="58" spans="1:16" ht="19.5" customHeight="1">
      <c r="A58" s="957" t="s">
        <v>796</v>
      </c>
      <c r="B58" s="958" t="s">
        <v>817</v>
      </c>
      <c r="C58" s="1000"/>
      <c r="D58" s="1000"/>
      <c r="E58" s="1000"/>
      <c r="F58" s="1000"/>
      <c r="G58" s="1000"/>
      <c r="H58" s="1000"/>
      <c r="I58" s="1000"/>
      <c r="J58" s="1000">
        <v>6</v>
      </c>
      <c r="K58" s="1000">
        <v>8</v>
      </c>
      <c r="L58" s="1000">
        <v>19</v>
      </c>
      <c r="M58" s="1036">
        <f t="shared" si="4"/>
        <v>33</v>
      </c>
      <c r="N58" s="1000"/>
      <c r="O58" s="1000"/>
      <c r="P58" s="1000"/>
    </row>
    <row r="59" spans="1:16" ht="27.75" customHeight="1">
      <c r="A59" s="957" t="s">
        <v>788</v>
      </c>
      <c r="B59" s="963" t="s">
        <v>232</v>
      </c>
      <c r="C59" s="1000"/>
      <c r="D59" s="1000"/>
      <c r="E59" s="1000"/>
      <c r="F59" s="1000"/>
      <c r="G59" s="1000"/>
      <c r="H59" s="1000"/>
      <c r="I59" s="1000">
        <v>1</v>
      </c>
      <c r="J59" s="1000">
        <v>11</v>
      </c>
      <c r="K59" s="1000">
        <v>8</v>
      </c>
      <c r="L59" s="1000">
        <v>26</v>
      </c>
      <c r="M59" s="1036">
        <f t="shared" si="4"/>
        <v>46</v>
      </c>
      <c r="N59" s="1000"/>
      <c r="O59" s="1000"/>
      <c r="P59" s="1000"/>
    </row>
    <row r="60" spans="1:16" ht="19.5" customHeight="1">
      <c r="A60" s="964"/>
      <c r="B60" s="964" t="s">
        <v>923</v>
      </c>
      <c r="C60" s="1023">
        <f t="shared" ref="C60:M60" si="5">SUM(C42:C59)</f>
        <v>0</v>
      </c>
      <c r="D60" s="1023">
        <f t="shared" si="5"/>
        <v>0</v>
      </c>
      <c r="E60" s="1023">
        <f t="shared" si="5"/>
        <v>0</v>
      </c>
      <c r="F60" s="1023">
        <f t="shared" si="5"/>
        <v>0</v>
      </c>
      <c r="G60" s="1023">
        <f t="shared" si="5"/>
        <v>0</v>
      </c>
      <c r="H60" s="1023">
        <f t="shared" si="5"/>
        <v>0</v>
      </c>
      <c r="I60" s="1023">
        <f t="shared" si="5"/>
        <v>9</v>
      </c>
      <c r="J60" s="1023">
        <f t="shared" si="5"/>
        <v>85</v>
      </c>
      <c r="K60" s="1023">
        <f t="shared" si="5"/>
        <v>153</v>
      </c>
      <c r="L60" s="1023">
        <f t="shared" si="5"/>
        <v>361</v>
      </c>
      <c r="M60" s="968">
        <f t="shared" si="5"/>
        <v>608</v>
      </c>
      <c r="O60" s="1000"/>
    </row>
  </sheetData>
  <mergeCells count="7">
    <mergeCell ref="A1:P1"/>
    <mergeCell ref="A3:P3"/>
    <mergeCell ref="A5:P5"/>
    <mergeCell ref="C39:M39"/>
    <mergeCell ref="A33:M33"/>
    <mergeCell ref="A35:M35"/>
    <mergeCell ref="A37:M37"/>
  </mergeCells>
  <phoneticPr fontId="19" type="noConversion"/>
  <pageMargins left="1.3779527559055118" right="0.78740157480314965" top="1.1811023622047245" bottom="0.59055118110236227" header="0.51181102362204722" footer="0.51181102362204722"/>
  <pageSetup paperSize="5" scale="85" orientation="landscape" horizontalDpi="300" verticalDpi="300" r:id="rId1"/>
  <headerFooter alignWithMargins="0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7"/>
  <sheetViews>
    <sheetView topLeftCell="A34" zoomScale="75" workbookViewId="0">
      <selection activeCell="O38" sqref="O38"/>
    </sheetView>
  </sheetViews>
  <sheetFormatPr baseColWidth="10" defaultRowHeight="12.75"/>
  <cols>
    <col min="1" max="1" width="9.42578125" style="939" customWidth="1"/>
    <col min="2" max="2" width="26.85546875" style="939" customWidth="1"/>
    <col min="3" max="3" width="9.85546875" style="939" customWidth="1"/>
    <col min="4" max="4" width="9.7109375" style="939" customWidth="1"/>
    <col min="5" max="5" width="9.28515625" style="939" customWidth="1"/>
    <col min="6" max="6" width="9.5703125" style="939" customWidth="1"/>
    <col min="7" max="8" width="9.28515625" style="939" customWidth="1"/>
    <col min="9" max="10" width="9.7109375" style="939" customWidth="1"/>
    <col min="11" max="11" width="10" style="939" customWidth="1"/>
    <col min="12" max="12" width="9" style="939" customWidth="1"/>
    <col min="13" max="13" width="8.5703125" style="939" customWidth="1"/>
    <col min="14" max="14" width="9.140625" style="939" customWidth="1"/>
    <col min="15" max="16384" width="11.42578125" style="939"/>
  </cols>
  <sheetData>
    <row r="1" spans="1:16">
      <c r="A1" s="936" t="s">
        <v>217</v>
      </c>
      <c r="B1" s="936"/>
      <c r="C1" s="1042"/>
      <c r="D1" s="1042"/>
      <c r="E1" s="1042"/>
      <c r="F1" s="1042"/>
      <c r="G1" s="1042"/>
      <c r="H1" s="1042"/>
      <c r="I1" s="937"/>
      <c r="J1" s="937"/>
      <c r="K1" s="937"/>
      <c r="L1" s="937"/>
      <c r="M1" s="937"/>
      <c r="N1" s="937"/>
    </row>
    <row r="2" spans="1:16">
      <c r="A2" s="936"/>
      <c r="B2" s="936"/>
      <c r="C2" s="1042"/>
      <c r="D2" s="1042"/>
      <c r="E2" s="1042"/>
      <c r="F2" s="1042"/>
      <c r="G2" s="1042"/>
      <c r="H2" s="1042"/>
      <c r="I2" s="937"/>
      <c r="J2" s="937"/>
      <c r="K2" s="937"/>
      <c r="L2" s="937"/>
      <c r="M2" s="937"/>
      <c r="N2" s="937"/>
    </row>
    <row r="3" spans="1:16">
      <c r="A3" s="936" t="str">
        <f>+'97'!A3</f>
        <v>SERVICIO DE SALUD   ACONCAGUA   2014</v>
      </c>
      <c r="B3" s="936"/>
      <c r="C3" s="1042"/>
      <c r="D3" s="1042"/>
      <c r="E3" s="1042"/>
      <c r="F3" s="1042"/>
      <c r="G3" s="1042"/>
      <c r="H3" s="1042"/>
      <c r="I3" s="937"/>
      <c r="J3" s="937"/>
      <c r="K3" s="937"/>
      <c r="L3" s="937"/>
      <c r="M3" s="937"/>
      <c r="N3" s="937"/>
    </row>
    <row r="4" spans="1:16">
      <c r="A4" s="936"/>
      <c r="B4" s="936"/>
      <c r="C4" s="1042"/>
      <c r="D4" s="1042"/>
      <c r="E4" s="1042"/>
      <c r="F4" s="1042"/>
      <c r="G4" s="1042"/>
      <c r="H4" s="1042"/>
      <c r="I4" s="937"/>
      <c r="J4" s="937"/>
      <c r="K4" s="937"/>
      <c r="L4" s="937"/>
      <c r="M4" s="937"/>
      <c r="N4" s="937"/>
    </row>
    <row r="5" spans="1:16">
      <c r="A5" s="936" t="s">
        <v>242</v>
      </c>
      <c r="B5" s="936"/>
      <c r="C5" s="1042"/>
      <c r="D5" s="1042"/>
      <c r="E5" s="1042"/>
      <c r="F5" s="1042"/>
      <c r="G5" s="1042"/>
      <c r="H5" s="1042"/>
      <c r="I5" s="1043"/>
      <c r="J5" s="1043"/>
      <c r="K5" s="1043"/>
      <c r="L5" s="1043"/>
      <c r="M5" s="1043"/>
      <c r="N5" s="1043"/>
    </row>
    <row r="6" spans="1:16">
      <c r="A6" s="1044"/>
      <c r="B6" s="1044"/>
      <c r="C6" s="1044"/>
      <c r="D6" s="1044"/>
      <c r="E6" s="1044"/>
      <c r="F6" s="1044"/>
      <c r="G6" s="1044"/>
      <c r="H6" s="1044"/>
    </row>
    <row r="7" spans="1:16" ht="18.75" customHeight="1">
      <c r="A7" s="942" t="s">
        <v>756</v>
      </c>
      <c r="B7" s="943"/>
      <c r="C7" s="944"/>
      <c r="D7" s="945" t="s">
        <v>757</v>
      </c>
      <c r="E7" s="945"/>
      <c r="F7" s="945"/>
      <c r="G7" s="945"/>
      <c r="H7" s="945"/>
      <c r="I7" s="945"/>
      <c r="J7" s="945"/>
      <c r="K7" s="945"/>
      <c r="L7" s="945"/>
      <c r="M7" s="945"/>
      <c r="N7" s="945"/>
      <c r="O7" s="945"/>
      <c r="P7" s="946"/>
    </row>
    <row r="8" spans="1:16" ht="23.25" customHeight="1">
      <c r="A8" s="947" t="s">
        <v>758</v>
      </c>
      <c r="B8" s="948" t="s">
        <v>759</v>
      </c>
      <c r="C8" s="949" t="s">
        <v>760</v>
      </c>
      <c r="D8" s="950" t="s">
        <v>699</v>
      </c>
      <c r="E8" s="951" t="s">
        <v>761</v>
      </c>
      <c r="F8" s="951" t="s">
        <v>762</v>
      </c>
      <c r="G8" s="951" t="s">
        <v>483</v>
      </c>
      <c r="H8" s="949" t="s">
        <v>763</v>
      </c>
      <c r="I8" s="951" t="s">
        <v>764</v>
      </c>
      <c r="J8" s="951" t="s">
        <v>445</v>
      </c>
      <c r="K8" s="951" t="s">
        <v>463</v>
      </c>
      <c r="L8" s="951" t="s">
        <v>468</v>
      </c>
      <c r="M8" s="951" t="s">
        <v>765</v>
      </c>
      <c r="N8" s="951" t="s">
        <v>470</v>
      </c>
      <c r="O8" s="951" t="s">
        <v>766</v>
      </c>
      <c r="P8" s="952" t="s">
        <v>571</v>
      </c>
    </row>
    <row r="9" spans="1:16">
      <c r="A9" s="953"/>
      <c r="B9" s="954"/>
      <c r="C9" s="943"/>
      <c r="D9" s="955"/>
      <c r="E9" s="955"/>
      <c r="F9" s="955"/>
      <c r="G9" s="955"/>
      <c r="H9" s="943"/>
      <c r="I9" s="955"/>
      <c r="J9" s="955"/>
      <c r="K9" s="955"/>
      <c r="L9" s="955"/>
      <c r="M9" s="955"/>
      <c r="N9" s="955"/>
      <c r="O9" s="955"/>
      <c r="P9" s="980"/>
    </row>
    <row r="10" spans="1:16" ht="18" customHeight="1">
      <c r="A10" s="957" t="s">
        <v>794</v>
      </c>
      <c r="B10" s="958" t="s">
        <v>795</v>
      </c>
      <c r="C10" s="999">
        <f>SUM(D10:G10)</f>
        <v>0</v>
      </c>
      <c r="D10" s="1000"/>
      <c r="E10" s="1000"/>
      <c r="F10" s="1000"/>
      <c r="G10" s="1000"/>
      <c r="H10" s="999">
        <f>SUM(I10:N10)</f>
        <v>0</v>
      </c>
      <c r="I10" s="1000"/>
      <c r="J10" s="1000"/>
      <c r="K10" s="1000"/>
      <c r="L10" s="1000"/>
      <c r="M10" s="1000"/>
      <c r="N10" s="1000"/>
      <c r="O10" s="1000"/>
      <c r="P10" s="1036">
        <f>+O10+H10+C10</f>
        <v>0</v>
      </c>
    </row>
    <row r="11" spans="1:16" ht="20.25" customHeight="1">
      <c r="A11" s="957" t="s">
        <v>769</v>
      </c>
      <c r="B11" s="958" t="s">
        <v>770</v>
      </c>
      <c r="C11" s="999">
        <f t="shared" ref="C11:C27" si="0">SUM(D11:G11)</f>
        <v>0</v>
      </c>
      <c r="D11" s="1000"/>
      <c r="E11" s="1000"/>
      <c r="F11" s="1000"/>
      <c r="G11" s="1000"/>
      <c r="H11" s="999">
        <f t="shared" ref="H11:H27" si="1">SUM(I11:N11)</f>
        <v>0</v>
      </c>
      <c r="I11" s="1000"/>
      <c r="J11" s="1000"/>
      <c r="K11" s="1000"/>
      <c r="L11" s="1000"/>
      <c r="M11" s="1000"/>
      <c r="N11" s="1000"/>
      <c r="O11" s="1000"/>
      <c r="P11" s="1036">
        <f t="shared" ref="P11:P27" si="2">+O11+H11+C11</f>
        <v>0</v>
      </c>
    </row>
    <row r="12" spans="1:16" ht="19.5" customHeight="1">
      <c r="A12" s="957" t="s">
        <v>218</v>
      </c>
      <c r="B12" s="958" t="s">
        <v>219</v>
      </c>
      <c r="C12" s="999">
        <f t="shared" si="0"/>
        <v>0</v>
      </c>
      <c r="D12" s="1000"/>
      <c r="E12" s="1000"/>
      <c r="F12" s="1000"/>
      <c r="G12" s="1000"/>
      <c r="H12" s="999">
        <f t="shared" si="1"/>
        <v>0</v>
      </c>
      <c r="I12" s="1000"/>
      <c r="J12" s="1000"/>
      <c r="K12" s="1000"/>
      <c r="L12" s="1000"/>
      <c r="M12" s="1000"/>
      <c r="N12" s="1000"/>
      <c r="O12" s="1000"/>
      <c r="P12" s="1036">
        <f t="shared" si="2"/>
        <v>0</v>
      </c>
    </row>
    <row r="13" spans="1:16" ht="20.25" customHeight="1">
      <c r="A13" s="957" t="s">
        <v>798</v>
      </c>
      <c r="B13" s="958" t="s">
        <v>799</v>
      </c>
      <c r="C13" s="999">
        <f t="shared" si="0"/>
        <v>0</v>
      </c>
      <c r="D13" s="1000"/>
      <c r="E13" s="1000"/>
      <c r="F13" s="1000"/>
      <c r="G13" s="1000"/>
      <c r="H13" s="999">
        <f t="shared" si="1"/>
        <v>0</v>
      </c>
      <c r="I13" s="1000"/>
      <c r="J13" s="1000"/>
      <c r="K13" s="1000"/>
      <c r="L13" s="1000"/>
      <c r="M13" s="1000"/>
      <c r="N13" s="1000"/>
      <c r="O13" s="1000"/>
      <c r="P13" s="1036">
        <f t="shared" si="2"/>
        <v>0</v>
      </c>
    </row>
    <row r="14" spans="1:16" ht="19.5" customHeight="1">
      <c r="A14" s="957" t="s">
        <v>220</v>
      </c>
      <c r="B14" s="958" t="s">
        <v>221</v>
      </c>
      <c r="C14" s="999">
        <f t="shared" si="0"/>
        <v>144</v>
      </c>
      <c r="D14" s="1127">
        <v>120</v>
      </c>
      <c r="E14" s="1127">
        <v>15</v>
      </c>
      <c r="F14" s="1127">
        <v>8</v>
      </c>
      <c r="G14" s="1127">
        <v>1</v>
      </c>
      <c r="H14" s="999">
        <f t="shared" si="1"/>
        <v>369</v>
      </c>
      <c r="I14" s="1000">
        <v>196</v>
      </c>
      <c r="J14" s="1000">
        <v>105</v>
      </c>
      <c r="K14" s="1000"/>
      <c r="L14" s="1000">
        <v>32</v>
      </c>
      <c r="M14" s="1000">
        <v>31</v>
      </c>
      <c r="N14" s="1000">
        <v>5</v>
      </c>
      <c r="O14" s="1000">
        <v>397</v>
      </c>
      <c r="P14" s="1036">
        <f t="shared" si="2"/>
        <v>910</v>
      </c>
    </row>
    <row r="15" spans="1:16" ht="19.5" customHeight="1">
      <c r="A15" s="957" t="s">
        <v>222</v>
      </c>
      <c r="B15" s="958" t="s">
        <v>223</v>
      </c>
      <c r="C15" s="999">
        <f t="shared" si="0"/>
        <v>3</v>
      </c>
      <c r="D15" s="1127">
        <v>3</v>
      </c>
      <c r="E15" s="1127"/>
      <c r="F15" s="1127"/>
      <c r="G15" s="1127"/>
      <c r="H15" s="999">
        <f t="shared" si="1"/>
        <v>0</v>
      </c>
      <c r="I15" s="1000"/>
      <c r="J15" s="1000"/>
      <c r="K15" s="1000"/>
      <c r="L15" s="1000"/>
      <c r="M15" s="1000"/>
      <c r="N15" s="1000"/>
      <c r="O15" s="1000">
        <v>1</v>
      </c>
      <c r="P15" s="1036">
        <f t="shared" si="2"/>
        <v>4</v>
      </c>
    </row>
    <row r="16" spans="1:16" ht="19.5" customHeight="1">
      <c r="A16" s="957" t="s">
        <v>224</v>
      </c>
      <c r="B16" s="958" t="s">
        <v>225</v>
      </c>
      <c r="C16" s="999">
        <f t="shared" si="0"/>
        <v>0</v>
      </c>
      <c r="D16" s="1000"/>
      <c r="E16" s="1000"/>
      <c r="F16" s="1000"/>
      <c r="G16" s="1000"/>
      <c r="H16" s="999">
        <f t="shared" si="1"/>
        <v>0</v>
      </c>
      <c r="I16" s="1000"/>
      <c r="J16" s="1000"/>
      <c r="K16" s="1000"/>
      <c r="L16" s="1000"/>
      <c r="M16" s="1000"/>
      <c r="N16" s="1000"/>
      <c r="O16" s="1000"/>
      <c r="P16" s="1036">
        <f t="shared" si="2"/>
        <v>0</v>
      </c>
    </row>
    <row r="17" spans="1:16" ht="20.25" customHeight="1">
      <c r="A17" s="957" t="s">
        <v>767</v>
      </c>
      <c r="B17" s="958" t="s">
        <v>768</v>
      </c>
      <c r="C17" s="999">
        <f t="shared" si="0"/>
        <v>0</v>
      </c>
      <c r="D17" s="1000"/>
      <c r="E17" s="1000"/>
      <c r="F17" s="1000"/>
      <c r="G17" s="1000"/>
      <c r="H17" s="999">
        <f t="shared" si="1"/>
        <v>0</v>
      </c>
      <c r="I17" s="1000"/>
      <c r="J17" s="1000"/>
      <c r="K17" s="1000"/>
      <c r="L17" s="1000"/>
      <c r="M17" s="1000"/>
      <c r="N17" s="1000"/>
      <c r="O17" s="1000"/>
      <c r="P17" s="1036">
        <f t="shared" si="2"/>
        <v>0</v>
      </c>
    </row>
    <row r="18" spans="1:16" ht="19.5" customHeight="1">
      <c r="A18" s="957" t="s">
        <v>771</v>
      </c>
      <c r="B18" s="958" t="s">
        <v>772</v>
      </c>
      <c r="C18" s="999">
        <f t="shared" si="0"/>
        <v>0</v>
      </c>
      <c r="D18" s="1000"/>
      <c r="E18" s="1000"/>
      <c r="F18" s="1000"/>
      <c r="G18" s="1000"/>
      <c r="H18" s="999">
        <f t="shared" si="1"/>
        <v>0</v>
      </c>
      <c r="I18" s="1000"/>
      <c r="J18" s="1000"/>
      <c r="K18" s="1000"/>
      <c r="L18" s="1000"/>
      <c r="M18" s="1000"/>
      <c r="N18" s="1000"/>
      <c r="O18" s="1000"/>
      <c r="P18" s="1036">
        <f t="shared" si="2"/>
        <v>0</v>
      </c>
    </row>
    <row r="19" spans="1:16" ht="19.5" customHeight="1">
      <c r="A19" s="957" t="s">
        <v>790</v>
      </c>
      <c r="B19" s="958" t="s">
        <v>791</v>
      </c>
      <c r="C19" s="999">
        <f t="shared" si="0"/>
        <v>0</v>
      </c>
      <c r="D19" s="1000"/>
      <c r="E19" s="1000"/>
      <c r="F19" s="1000"/>
      <c r="G19" s="1000"/>
      <c r="H19" s="999">
        <f t="shared" si="1"/>
        <v>0</v>
      </c>
      <c r="I19" s="1000"/>
      <c r="J19" s="1000"/>
      <c r="K19" s="1000"/>
      <c r="L19" s="1000"/>
      <c r="M19" s="1000"/>
      <c r="N19" s="1000"/>
      <c r="O19" s="1000"/>
      <c r="P19" s="1036">
        <f t="shared" si="2"/>
        <v>0</v>
      </c>
    </row>
    <row r="20" spans="1:16" ht="18.75" customHeight="1">
      <c r="A20" s="957" t="s">
        <v>226</v>
      </c>
      <c r="B20" s="958" t="s">
        <v>227</v>
      </c>
      <c r="C20" s="999">
        <f t="shared" si="0"/>
        <v>0</v>
      </c>
      <c r="D20" s="1000"/>
      <c r="E20" s="1000"/>
      <c r="F20" s="1000"/>
      <c r="G20" s="1000"/>
      <c r="H20" s="999">
        <f t="shared" si="1"/>
        <v>0</v>
      </c>
      <c r="I20" s="1000"/>
      <c r="J20" s="1000"/>
      <c r="K20" s="1000"/>
      <c r="L20" s="1000"/>
      <c r="M20" s="1000"/>
      <c r="N20" s="1000"/>
      <c r="O20" s="1000"/>
      <c r="P20" s="1036">
        <f t="shared" si="2"/>
        <v>0</v>
      </c>
    </row>
    <row r="21" spans="1:16" ht="19.5" customHeight="1">
      <c r="A21" s="957" t="s">
        <v>228</v>
      </c>
      <c r="B21" s="958" t="s">
        <v>229</v>
      </c>
      <c r="C21" s="999">
        <f t="shared" si="0"/>
        <v>0</v>
      </c>
      <c r="D21" s="1000"/>
      <c r="E21" s="1000"/>
      <c r="F21" s="1000"/>
      <c r="G21" s="1000"/>
      <c r="H21" s="999">
        <f t="shared" si="1"/>
        <v>0</v>
      </c>
      <c r="I21" s="1000"/>
      <c r="J21" s="1000"/>
      <c r="K21" s="1000"/>
      <c r="L21" s="1000"/>
      <c r="M21" s="1000"/>
      <c r="N21" s="1000"/>
      <c r="O21" s="1000"/>
      <c r="P21" s="1036">
        <f t="shared" si="2"/>
        <v>0</v>
      </c>
    </row>
    <row r="22" spans="1:16" ht="19.5" customHeight="1">
      <c r="A22" s="957" t="s">
        <v>792</v>
      </c>
      <c r="B22" s="958" t="s">
        <v>793</v>
      </c>
      <c r="C22" s="999">
        <f t="shared" si="0"/>
        <v>0</v>
      </c>
      <c r="D22" s="1000"/>
      <c r="E22" s="1000"/>
      <c r="F22" s="1000"/>
      <c r="G22" s="1000"/>
      <c r="H22" s="999">
        <f t="shared" si="1"/>
        <v>0</v>
      </c>
      <c r="I22" s="1000"/>
      <c r="J22" s="1000"/>
      <c r="K22" s="1000"/>
      <c r="L22" s="1000"/>
      <c r="M22" s="1000"/>
      <c r="N22" s="1000"/>
      <c r="O22" s="1000"/>
      <c r="P22" s="1036">
        <f t="shared" si="2"/>
        <v>0</v>
      </c>
    </row>
    <row r="23" spans="1:16" ht="18.75" customHeight="1">
      <c r="A23" s="957" t="s">
        <v>230</v>
      </c>
      <c r="B23" s="958" t="s">
        <v>231</v>
      </c>
      <c r="C23" s="999">
        <f t="shared" si="0"/>
        <v>0</v>
      </c>
      <c r="D23" s="1000"/>
      <c r="E23" s="1000"/>
      <c r="F23" s="1000"/>
      <c r="G23" s="1000"/>
      <c r="H23" s="999">
        <f t="shared" si="1"/>
        <v>0</v>
      </c>
      <c r="I23" s="1000"/>
      <c r="J23" s="1000"/>
      <c r="K23" s="1000"/>
      <c r="L23" s="1000"/>
      <c r="M23" s="1000"/>
      <c r="N23" s="1000"/>
      <c r="O23" s="1000"/>
      <c r="P23" s="1036">
        <f t="shared" si="2"/>
        <v>0</v>
      </c>
    </row>
    <row r="24" spans="1:16" ht="19.5" customHeight="1">
      <c r="A24" s="957" t="s">
        <v>800</v>
      </c>
      <c r="B24" s="958" t="s">
        <v>801</v>
      </c>
      <c r="C24" s="999">
        <f t="shared" si="0"/>
        <v>0</v>
      </c>
      <c r="D24" s="1000"/>
      <c r="E24" s="1000"/>
      <c r="F24" s="1000"/>
      <c r="G24" s="1000"/>
      <c r="H24" s="999">
        <f t="shared" si="1"/>
        <v>0</v>
      </c>
      <c r="I24" s="1000"/>
      <c r="J24" s="1000"/>
      <c r="K24" s="1000"/>
      <c r="L24" s="1000"/>
      <c r="M24" s="1000"/>
      <c r="N24" s="1000"/>
      <c r="O24" s="1000"/>
      <c r="P24" s="1036">
        <f t="shared" si="2"/>
        <v>0</v>
      </c>
    </row>
    <row r="25" spans="1:16" ht="20.25" customHeight="1">
      <c r="A25" s="957" t="s">
        <v>802</v>
      </c>
      <c r="B25" s="958" t="s">
        <v>803</v>
      </c>
      <c r="C25" s="999">
        <f t="shared" si="0"/>
        <v>0</v>
      </c>
      <c r="D25" s="1000"/>
      <c r="E25" s="1000"/>
      <c r="F25" s="1000"/>
      <c r="G25" s="1000"/>
      <c r="H25" s="999">
        <f t="shared" si="1"/>
        <v>0</v>
      </c>
      <c r="I25" s="1000"/>
      <c r="J25" s="1000"/>
      <c r="K25" s="1000"/>
      <c r="L25" s="1000"/>
      <c r="M25" s="1000"/>
      <c r="N25" s="1000"/>
      <c r="O25" s="1000"/>
      <c r="P25" s="1036">
        <f t="shared" si="2"/>
        <v>0</v>
      </c>
    </row>
    <row r="26" spans="1:16" ht="21.75" customHeight="1">
      <c r="A26" s="957" t="s">
        <v>796</v>
      </c>
      <c r="B26" s="958" t="s">
        <v>817</v>
      </c>
      <c r="C26" s="999">
        <f t="shared" si="0"/>
        <v>0</v>
      </c>
      <c r="D26" s="1000"/>
      <c r="E26" s="1000"/>
      <c r="F26" s="1000"/>
      <c r="G26" s="1000"/>
      <c r="H26" s="999">
        <f t="shared" si="1"/>
        <v>0</v>
      </c>
      <c r="I26" s="1000"/>
      <c r="J26" s="1000"/>
      <c r="K26" s="1000"/>
      <c r="L26" s="1000"/>
      <c r="M26" s="1000"/>
      <c r="N26" s="1000"/>
      <c r="O26" s="1000"/>
      <c r="P26" s="1036">
        <f t="shared" si="2"/>
        <v>0</v>
      </c>
    </row>
    <row r="27" spans="1:16" ht="27.75" customHeight="1">
      <c r="A27" s="957" t="s">
        <v>788</v>
      </c>
      <c r="B27" s="963" t="s">
        <v>232</v>
      </c>
      <c r="C27" s="999">
        <f t="shared" si="0"/>
        <v>0</v>
      </c>
      <c r="D27" s="1127"/>
      <c r="E27" s="1000"/>
      <c r="F27" s="1000"/>
      <c r="G27" s="1000"/>
      <c r="H27" s="999">
        <f t="shared" si="1"/>
        <v>3</v>
      </c>
      <c r="I27" s="1000">
        <v>1</v>
      </c>
      <c r="J27" s="1000"/>
      <c r="K27" s="1000"/>
      <c r="L27" s="1000"/>
      <c r="M27" s="1000">
        <v>2</v>
      </c>
      <c r="N27" s="1000"/>
      <c r="O27" s="1000">
        <v>2</v>
      </c>
      <c r="P27" s="1036">
        <f t="shared" si="2"/>
        <v>5</v>
      </c>
    </row>
    <row r="28" spans="1:16" ht="21.75" customHeight="1">
      <c r="A28" s="964"/>
      <c r="B28" s="964" t="s">
        <v>923</v>
      </c>
      <c r="C28" s="1012">
        <f>SUM(C10:C27)</f>
        <v>147</v>
      </c>
      <c r="D28" s="1013">
        <f t="shared" ref="D28:P28" si="3">SUM(D10:D27)</f>
        <v>123</v>
      </c>
      <c r="E28" s="1013">
        <f t="shared" si="3"/>
        <v>15</v>
      </c>
      <c r="F28" s="1013">
        <f t="shared" si="3"/>
        <v>8</v>
      </c>
      <c r="G28" s="1013">
        <f t="shared" si="3"/>
        <v>1</v>
      </c>
      <c r="H28" s="1012">
        <f t="shared" si="3"/>
        <v>372</v>
      </c>
      <c r="I28" s="1013">
        <f t="shared" si="3"/>
        <v>197</v>
      </c>
      <c r="J28" s="1013">
        <f t="shared" si="3"/>
        <v>105</v>
      </c>
      <c r="K28" s="1013">
        <f t="shared" si="3"/>
        <v>0</v>
      </c>
      <c r="L28" s="1013">
        <f t="shared" si="3"/>
        <v>32</v>
      </c>
      <c r="M28" s="1013">
        <f t="shared" si="3"/>
        <v>33</v>
      </c>
      <c r="N28" s="1013">
        <f t="shared" si="3"/>
        <v>5</v>
      </c>
      <c r="O28" s="1013">
        <f t="shared" si="3"/>
        <v>400</v>
      </c>
      <c r="P28" s="1025">
        <f t="shared" si="3"/>
        <v>919</v>
      </c>
    </row>
    <row r="29" spans="1:16" ht="21.75" customHeight="1">
      <c r="A29" s="969"/>
      <c r="B29" s="969"/>
      <c r="C29" s="970"/>
      <c r="D29" s="1002"/>
      <c r="E29" s="970"/>
      <c r="F29" s="970"/>
      <c r="G29" s="970"/>
      <c r="H29" s="970"/>
      <c r="I29" s="970"/>
      <c r="J29" s="970"/>
      <c r="K29" s="970"/>
      <c r="L29" s="970"/>
      <c r="M29" s="970"/>
      <c r="N29" s="971"/>
    </row>
    <row r="30" spans="1:16">
      <c r="A30" s="936" t="s">
        <v>233</v>
      </c>
      <c r="B30" s="972"/>
      <c r="C30" s="972"/>
      <c r="D30" s="972"/>
      <c r="E30" s="972"/>
      <c r="F30" s="972"/>
      <c r="G30" s="973"/>
      <c r="H30" s="973"/>
      <c r="I30" s="973"/>
      <c r="J30" s="973"/>
      <c r="K30" s="973"/>
      <c r="L30" s="973"/>
      <c r="M30" s="973"/>
      <c r="N30" s="1004"/>
    </row>
    <row r="31" spans="1:16">
      <c r="A31" s="936"/>
      <c r="B31" s="975"/>
      <c r="C31" s="975"/>
      <c r="D31" s="975"/>
      <c r="E31" s="975"/>
      <c r="F31" s="975"/>
      <c r="G31" s="976"/>
      <c r="H31" s="976"/>
      <c r="I31" s="976"/>
      <c r="J31" s="976"/>
      <c r="K31" s="976"/>
      <c r="L31" s="976"/>
      <c r="M31" s="976"/>
      <c r="N31" s="978"/>
    </row>
    <row r="32" spans="1:16">
      <c r="A32" s="936" t="str">
        <f>+A3</f>
        <v>SERVICIO DE SALUD   ACONCAGUA   2014</v>
      </c>
      <c r="B32" s="975"/>
      <c r="C32" s="975"/>
      <c r="D32" s="975"/>
      <c r="E32" s="975"/>
      <c r="F32" s="975"/>
      <c r="G32" s="976"/>
      <c r="H32" s="976"/>
      <c r="I32" s="976"/>
      <c r="J32" s="976"/>
      <c r="K32" s="976"/>
      <c r="L32" s="976"/>
      <c r="M32" s="976"/>
      <c r="N32" s="978"/>
    </row>
    <row r="33" spans="1:14">
      <c r="A33" s="936"/>
      <c r="B33" s="975"/>
      <c r="C33" s="975"/>
      <c r="D33" s="975"/>
      <c r="E33" s="975"/>
      <c r="F33" s="975"/>
      <c r="G33" s="976"/>
      <c r="H33" s="976"/>
      <c r="I33" s="976"/>
      <c r="J33" s="976"/>
      <c r="K33" s="976"/>
      <c r="L33" s="976"/>
      <c r="M33" s="976"/>
      <c r="N33" s="978"/>
    </row>
    <row r="34" spans="1:14">
      <c r="A34" s="936" t="s">
        <v>242</v>
      </c>
      <c r="B34" s="1042"/>
      <c r="C34" s="1042"/>
      <c r="D34" s="1042"/>
      <c r="E34" s="1042"/>
      <c r="F34" s="1042"/>
      <c r="G34" s="1043"/>
      <c r="H34" s="1043"/>
      <c r="I34" s="1043"/>
      <c r="J34" s="1043"/>
      <c r="K34" s="1043"/>
      <c r="L34" s="1043"/>
      <c r="M34" s="1043"/>
      <c r="N34" s="1045"/>
    </row>
    <row r="35" spans="1:14">
      <c r="A35" s="978"/>
      <c r="B35" s="978"/>
      <c r="C35" s="978"/>
      <c r="D35" s="978"/>
      <c r="E35" s="978"/>
      <c r="F35" s="978"/>
      <c r="G35" s="978"/>
      <c r="H35" s="978"/>
      <c r="I35" s="978"/>
      <c r="J35" s="978"/>
      <c r="K35" s="978"/>
      <c r="L35" s="978"/>
      <c r="M35" s="978"/>
      <c r="N35" s="978"/>
    </row>
    <row r="36" spans="1:14" ht="21.75" customHeight="1">
      <c r="A36" s="942" t="s">
        <v>756</v>
      </c>
      <c r="B36" s="943"/>
      <c r="C36" s="945" t="s">
        <v>805</v>
      </c>
      <c r="D36" s="945"/>
      <c r="E36" s="945"/>
      <c r="F36" s="945"/>
      <c r="G36" s="945"/>
      <c r="H36" s="945"/>
      <c r="I36" s="945"/>
      <c r="J36" s="945"/>
      <c r="K36" s="945"/>
      <c r="L36" s="945"/>
      <c r="M36" s="979"/>
      <c r="N36" s="1046"/>
    </row>
    <row r="37" spans="1:14" ht="23.25" customHeight="1">
      <c r="A37" s="947" t="s">
        <v>758</v>
      </c>
      <c r="B37" s="948" t="s">
        <v>759</v>
      </c>
      <c r="C37" s="951" t="s">
        <v>807</v>
      </c>
      <c r="D37" s="951" t="s">
        <v>808</v>
      </c>
      <c r="E37" s="951" t="s">
        <v>809</v>
      </c>
      <c r="F37" s="951" t="s">
        <v>810</v>
      </c>
      <c r="G37" s="951" t="s">
        <v>811</v>
      </c>
      <c r="H37" s="951" t="s">
        <v>812</v>
      </c>
      <c r="I37" s="951" t="s">
        <v>813</v>
      </c>
      <c r="J37" s="951" t="s">
        <v>814</v>
      </c>
      <c r="K37" s="951" t="s">
        <v>815</v>
      </c>
      <c r="L37" s="951" t="s">
        <v>816</v>
      </c>
      <c r="M37" s="952" t="s">
        <v>571</v>
      </c>
    </row>
    <row r="38" spans="1:14">
      <c r="A38" s="953"/>
      <c r="B38" s="954"/>
      <c r="C38" s="955"/>
      <c r="D38" s="955"/>
      <c r="E38" s="955"/>
      <c r="F38" s="955"/>
      <c r="G38" s="955"/>
      <c r="H38" s="955"/>
      <c r="I38" s="955"/>
      <c r="J38" s="955"/>
      <c r="K38" s="955"/>
      <c r="L38" s="955"/>
      <c r="M38" s="980"/>
      <c r="N38" s="978"/>
    </row>
    <row r="39" spans="1:14" ht="20.25" customHeight="1">
      <c r="A39" s="957" t="s">
        <v>794</v>
      </c>
      <c r="B39" s="958" t="s">
        <v>795</v>
      </c>
      <c r="C39" s="998"/>
      <c r="D39" s="998"/>
      <c r="E39" s="1000"/>
      <c r="F39" s="1000"/>
      <c r="G39" s="1000"/>
      <c r="H39" s="1000"/>
      <c r="I39" s="1000"/>
      <c r="J39" s="1000"/>
      <c r="K39" s="1000"/>
      <c r="L39" s="1000"/>
      <c r="M39" s="1011">
        <f t="shared" ref="M39:M56" si="4">SUM(B39:L39)</f>
        <v>0</v>
      </c>
    </row>
    <row r="40" spans="1:14" ht="19.5" customHeight="1">
      <c r="A40" s="957" t="s">
        <v>769</v>
      </c>
      <c r="B40" s="958" t="s">
        <v>770</v>
      </c>
      <c r="C40" s="998"/>
      <c r="D40" s="998"/>
      <c r="E40" s="1000"/>
      <c r="F40" s="1000"/>
      <c r="G40" s="1000"/>
      <c r="H40" s="1000"/>
      <c r="I40" s="1000"/>
      <c r="J40" s="1000"/>
      <c r="K40" s="1000"/>
      <c r="L40" s="1000"/>
      <c r="M40" s="1011">
        <f t="shared" si="4"/>
        <v>0</v>
      </c>
    </row>
    <row r="41" spans="1:14" ht="18" customHeight="1">
      <c r="A41" s="957" t="s">
        <v>218</v>
      </c>
      <c r="B41" s="958" t="s">
        <v>219</v>
      </c>
      <c r="C41" s="998"/>
      <c r="D41" s="998"/>
      <c r="E41" s="1000"/>
      <c r="F41" s="1000"/>
      <c r="G41" s="1000"/>
      <c r="H41" s="1000"/>
      <c r="I41" s="1000"/>
      <c r="J41" s="1000"/>
      <c r="K41" s="1000"/>
      <c r="L41" s="1000"/>
      <c r="M41" s="1011">
        <f t="shared" si="4"/>
        <v>0</v>
      </c>
    </row>
    <row r="42" spans="1:14" ht="19.5" customHeight="1">
      <c r="A42" s="957" t="s">
        <v>798</v>
      </c>
      <c r="B42" s="958" t="s">
        <v>799</v>
      </c>
      <c r="C42" s="998"/>
      <c r="D42" s="998"/>
      <c r="E42" s="1000"/>
      <c r="F42" s="1000"/>
      <c r="G42" s="1000"/>
      <c r="H42" s="1000"/>
      <c r="I42" s="1000"/>
      <c r="J42" s="1000"/>
      <c r="K42" s="1000"/>
      <c r="L42" s="1000"/>
      <c r="M42" s="1011">
        <f t="shared" si="4"/>
        <v>0</v>
      </c>
    </row>
    <row r="43" spans="1:14" ht="19.5" customHeight="1">
      <c r="A43" s="957" t="s">
        <v>220</v>
      </c>
      <c r="B43" s="958" t="s">
        <v>221</v>
      </c>
      <c r="C43" s="998"/>
      <c r="D43" s="998"/>
      <c r="E43" s="1000"/>
      <c r="F43" s="1000"/>
      <c r="G43" s="1000"/>
      <c r="H43" s="1000">
        <v>5</v>
      </c>
      <c r="I43" s="1000">
        <v>95</v>
      </c>
      <c r="J43" s="1000">
        <v>475</v>
      </c>
      <c r="K43" s="1000">
        <v>297</v>
      </c>
      <c r="L43" s="1000">
        <v>38</v>
      </c>
      <c r="M43" s="1011">
        <f t="shared" si="4"/>
        <v>910</v>
      </c>
    </row>
    <row r="44" spans="1:14" ht="19.5" customHeight="1">
      <c r="A44" s="957" t="s">
        <v>222</v>
      </c>
      <c r="B44" s="958" t="s">
        <v>223</v>
      </c>
      <c r="C44" s="998"/>
      <c r="D44" s="998"/>
      <c r="E44" s="1000"/>
      <c r="F44" s="1000"/>
      <c r="G44" s="1000"/>
      <c r="H44" s="1000"/>
      <c r="I44" s="1000">
        <v>2</v>
      </c>
      <c r="J44" s="1000"/>
      <c r="K44" s="1000">
        <v>2</v>
      </c>
      <c r="L44" s="1000"/>
      <c r="M44" s="1011">
        <f t="shared" si="4"/>
        <v>4</v>
      </c>
    </row>
    <row r="45" spans="1:14" ht="19.5" customHeight="1">
      <c r="A45" s="957" t="s">
        <v>224</v>
      </c>
      <c r="B45" s="958" t="s">
        <v>225</v>
      </c>
      <c r="C45" s="998"/>
      <c r="D45" s="998"/>
      <c r="E45" s="1000"/>
      <c r="F45" s="1000"/>
      <c r="G45" s="1000"/>
      <c r="H45" s="1000"/>
      <c r="I45" s="1000"/>
      <c r="J45" s="1000"/>
      <c r="K45" s="1000"/>
      <c r="L45" s="1000"/>
      <c r="M45" s="1011">
        <f t="shared" si="4"/>
        <v>0</v>
      </c>
    </row>
    <row r="46" spans="1:14" ht="18" customHeight="1">
      <c r="A46" s="957" t="s">
        <v>767</v>
      </c>
      <c r="B46" s="958" t="s">
        <v>768</v>
      </c>
      <c r="C46" s="998"/>
      <c r="D46" s="998"/>
      <c r="E46" s="1000"/>
      <c r="F46" s="1000"/>
      <c r="G46" s="1000"/>
      <c r="H46" s="1000"/>
      <c r="I46" s="1000"/>
      <c r="J46" s="1000"/>
      <c r="K46" s="1000"/>
      <c r="L46" s="1000"/>
      <c r="M46" s="1011">
        <f t="shared" si="4"/>
        <v>0</v>
      </c>
    </row>
    <row r="47" spans="1:14" ht="18.75" customHeight="1">
      <c r="A47" s="957" t="s">
        <v>771</v>
      </c>
      <c r="B47" s="958" t="s">
        <v>772</v>
      </c>
      <c r="C47" s="998"/>
      <c r="D47" s="998"/>
      <c r="E47" s="1000"/>
      <c r="F47" s="1000"/>
      <c r="G47" s="1000"/>
      <c r="H47" s="1000"/>
      <c r="I47" s="1000"/>
      <c r="J47" s="1000"/>
      <c r="K47" s="1000"/>
      <c r="L47" s="1000"/>
      <c r="M47" s="1011">
        <f t="shared" si="4"/>
        <v>0</v>
      </c>
    </row>
    <row r="48" spans="1:14" ht="19.5" customHeight="1">
      <c r="A48" s="957" t="s">
        <v>790</v>
      </c>
      <c r="B48" s="958" t="s">
        <v>791</v>
      </c>
      <c r="C48" s="998"/>
      <c r="D48" s="998"/>
      <c r="E48" s="1000"/>
      <c r="F48" s="1000"/>
      <c r="G48" s="1000"/>
      <c r="H48" s="1000"/>
      <c r="I48" s="1000"/>
      <c r="J48" s="1000"/>
      <c r="K48" s="1000"/>
      <c r="L48" s="1000"/>
      <c r="M48" s="1011">
        <f t="shared" si="4"/>
        <v>0</v>
      </c>
    </row>
    <row r="49" spans="1:13" ht="18" customHeight="1">
      <c r="A49" s="957" t="s">
        <v>226</v>
      </c>
      <c r="B49" s="958" t="s">
        <v>227</v>
      </c>
      <c r="C49" s="998"/>
      <c r="D49" s="998"/>
      <c r="E49" s="1000"/>
      <c r="F49" s="1000"/>
      <c r="G49" s="1000"/>
      <c r="H49" s="1000"/>
      <c r="I49" s="1000"/>
      <c r="J49" s="1000"/>
      <c r="K49" s="1000"/>
      <c r="L49" s="1000"/>
      <c r="M49" s="1011">
        <f t="shared" si="4"/>
        <v>0</v>
      </c>
    </row>
    <row r="50" spans="1:13" ht="19.5" customHeight="1">
      <c r="A50" s="957" t="s">
        <v>228</v>
      </c>
      <c r="B50" s="958" t="s">
        <v>229</v>
      </c>
      <c r="C50" s="998"/>
      <c r="D50" s="998"/>
      <c r="E50" s="1000"/>
      <c r="F50" s="1000"/>
      <c r="G50" s="1000"/>
      <c r="H50" s="1000"/>
      <c r="I50" s="1000"/>
      <c r="J50" s="1000"/>
      <c r="K50" s="1000"/>
      <c r="L50" s="1000"/>
      <c r="M50" s="1011">
        <f t="shared" si="4"/>
        <v>0</v>
      </c>
    </row>
    <row r="51" spans="1:13" ht="18.75" customHeight="1">
      <c r="A51" s="957" t="s">
        <v>792</v>
      </c>
      <c r="B51" s="958" t="s">
        <v>793</v>
      </c>
      <c r="C51" s="998"/>
      <c r="D51" s="998"/>
      <c r="E51" s="1000"/>
      <c r="F51" s="1000"/>
      <c r="G51" s="1000"/>
      <c r="H51" s="1000"/>
      <c r="I51" s="1000"/>
      <c r="J51" s="1000"/>
      <c r="K51" s="1000"/>
      <c r="L51" s="1000"/>
      <c r="M51" s="1011">
        <f t="shared" si="4"/>
        <v>0</v>
      </c>
    </row>
    <row r="52" spans="1:13" ht="18.75" customHeight="1">
      <c r="A52" s="957" t="s">
        <v>230</v>
      </c>
      <c r="B52" s="958" t="s">
        <v>231</v>
      </c>
      <c r="C52" s="998"/>
      <c r="D52" s="998"/>
      <c r="E52" s="1000"/>
      <c r="F52" s="1000"/>
      <c r="G52" s="1000"/>
      <c r="H52" s="1000"/>
      <c r="I52" s="1000"/>
      <c r="J52" s="1000"/>
      <c r="K52" s="1000"/>
      <c r="L52" s="1000"/>
      <c r="M52" s="1011">
        <f t="shared" si="4"/>
        <v>0</v>
      </c>
    </row>
    <row r="53" spans="1:13" ht="18" customHeight="1">
      <c r="A53" s="957" t="s">
        <v>800</v>
      </c>
      <c r="B53" s="958" t="s">
        <v>801</v>
      </c>
      <c r="C53" s="998"/>
      <c r="D53" s="998"/>
      <c r="E53" s="1000"/>
      <c r="F53" s="1000"/>
      <c r="G53" s="1000"/>
      <c r="H53" s="1000"/>
      <c r="I53" s="1000"/>
      <c r="J53" s="1000"/>
      <c r="K53" s="1000"/>
      <c r="L53" s="1000"/>
      <c r="M53" s="1011">
        <f t="shared" si="4"/>
        <v>0</v>
      </c>
    </row>
    <row r="54" spans="1:13" ht="20.25" customHeight="1">
      <c r="A54" s="957" t="s">
        <v>802</v>
      </c>
      <c r="B54" s="958" t="s">
        <v>803</v>
      </c>
      <c r="C54" s="998"/>
      <c r="D54" s="998"/>
      <c r="E54" s="1000"/>
      <c r="F54" s="1000"/>
      <c r="G54" s="1000"/>
      <c r="H54" s="1000"/>
      <c r="I54" s="1000"/>
      <c r="J54" s="1000"/>
      <c r="K54" s="1000"/>
      <c r="L54" s="1000"/>
      <c r="M54" s="1011">
        <f t="shared" si="4"/>
        <v>0</v>
      </c>
    </row>
    <row r="55" spans="1:13" ht="19.5" customHeight="1">
      <c r="A55" s="957" t="s">
        <v>796</v>
      </c>
      <c r="B55" s="958" t="s">
        <v>817</v>
      </c>
      <c r="C55" s="998"/>
      <c r="D55" s="998"/>
      <c r="E55" s="1000"/>
      <c r="F55" s="1000"/>
      <c r="G55" s="1000"/>
      <c r="H55" s="1000"/>
      <c r="I55" s="1000"/>
      <c r="J55" s="1000"/>
      <c r="K55" s="1000"/>
      <c r="L55" s="1000"/>
      <c r="M55" s="1011">
        <f t="shared" si="4"/>
        <v>0</v>
      </c>
    </row>
    <row r="56" spans="1:13" ht="27.75" customHeight="1">
      <c r="A56" s="957" t="s">
        <v>788</v>
      </c>
      <c r="B56" s="963" t="s">
        <v>232</v>
      </c>
      <c r="C56" s="998"/>
      <c r="D56" s="998"/>
      <c r="E56" s="1000"/>
      <c r="F56" s="1000"/>
      <c r="G56" s="1000"/>
      <c r="H56" s="1000"/>
      <c r="I56" s="1000">
        <v>1</v>
      </c>
      <c r="J56" s="1000">
        <v>2</v>
      </c>
      <c r="K56" s="1000">
        <v>2</v>
      </c>
      <c r="L56" s="1000"/>
      <c r="M56" s="1011">
        <f t="shared" si="4"/>
        <v>5</v>
      </c>
    </row>
    <row r="57" spans="1:13" ht="19.5" customHeight="1">
      <c r="A57" s="964"/>
      <c r="B57" s="964" t="s">
        <v>923</v>
      </c>
      <c r="C57" s="1023">
        <f t="shared" ref="C57:M57" si="5">SUM(C39:C56)</f>
        <v>0</v>
      </c>
      <c r="D57" s="1023">
        <f t="shared" si="5"/>
        <v>0</v>
      </c>
      <c r="E57" s="1023">
        <f t="shared" si="5"/>
        <v>0</v>
      </c>
      <c r="F57" s="1023">
        <f t="shared" si="5"/>
        <v>0</v>
      </c>
      <c r="G57" s="1023">
        <f t="shared" si="5"/>
        <v>0</v>
      </c>
      <c r="H57" s="1023">
        <f t="shared" si="5"/>
        <v>5</v>
      </c>
      <c r="I57" s="1023">
        <f t="shared" si="5"/>
        <v>98</v>
      </c>
      <c r="J57" s="1023">
        <f t="shared" si="5"/>
        <v>477</v>
      </c>
      <c r="K57" s="1023">
        <f t="shared" si="5"/>
        <v>301</v>
      </c>
      <c r="L57" s="1023">
        <f t="shared" si="5"/>
        <v>38</v>
      </c>
      <c r="M57" s="968">
        <f t="shared" si="5"/>
        <v>919</v>
      </c>
    </row>
  </sheetData>
  <phoneticPr fontId="19" type="noConversion"/>
  <pageMargins left="1.7716535433070868" right="0.78740157480314965" top="1.1811023622047245" bottom="1.1811023622047245" header="0.51181102362204722" footer="0.51181102362204722"/>
  <pageSetup paperSize="5" scale="85" orientation="landscape" horizontalDpi="300" verticalDpi="300" r:id="rId1"/>
  <headerFooter alignWithMargins="0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4:G27"/>
  <sheetViews>
    <sheetView showGridLines="0" workbookViewId="0">
      <selection activeCell="B14" sqref="B14"/>
    </sheetView>
  </sheetViews>
  <sheetFormatPr baseColWidth="10" defaultRowHeight="12.75"/>
  <sheetData>
    <row r="14" spans="1:7" ht="23.25">
      <c r="A14" s="174" t="s">
        <v>244</v>
      </c>
      <c r="B14" s="1"/>
      <c r="C14" s="1"/>
      <c r="D14" s="1"/>
      <c r="E14" s="1"/>
      <c r="F14" s="1"/>
      <c r="G14" s="1"/>
    </row>
    <row r="15" spans="1:7" ht="23.25">
      <c r="A15" s="1047"/>
      <c r="B15" s="1"/>
      <c r="C15" s="1"/>
      <c r="D15" s="1"/>
      <c r="E15" s="1"/>
      <c r="F15" s="1"/>
      <c r="G15" s="1"/>
    </row>
    <row r="16" spans="1:7" ht="23.25">
      <c r="A16" s="1047"/>
      <c r="B16" s="1"/>
      <c r="C16" s="1"/>
      <c r="D16" s="1"/>
      <c r="E16" s="1"/>
      <c r="F16" s="1"/>
      <c r="G16" s="1"/>
    </row>
    <row r="17" spans="1:7" ht="23.25">
      <c r="A17" s="1047"/>
      <c r="B17" s="1"/>
      <c r="C17" s="1"/>
      <c r="D17" s="1"/>
      <c r="E17" s="1"/>
      <c r="F17" s="1"/>
      <c r="G17" s="1"/>
    </row>
    <row r="18" spans="1:7" ht="23.25">
      <c r="A18" s="1047"/>
      <c r="B18" s="1"/>
      <c r="C18" s="1"/>
      <c r="D18" s="1"/>
      <c r="E18" s="1"/>
      <c r="F18" s="1"/>
      <c r="G18" s="1"/>
    </row>
    <row r="19" spans="1:7" ht="23.25">
      <c r="A19" s="1047"/>
      <c r="B19" s="1"/>
      <c r="C19" s="1"/>
      <c r="D19" s="1"/>
      <c r="E19" s="1"/>
      <c r="F19" s="1"/>
      <c r="G19" s="1"/>
    </row>
    <row r="20" spans="1:7" ht="23.25">
      <c r="A20" s="1047"/>
      <c r="B20" s="1"/>
      <c r="C20" s="1"/>
      <c r="D20" s="1"/>
      <c r="E20" s="1"/>
      <c r="F20" s="1"/>
      <c r="G20" s="1"/>
    </row>
    <row r="21" spans="1:7" ht="23.25">
      <c r="A21" s="1047"/>
      <c r="B21" s="1"/>
      <c r="C21" s="1"/>
      <c r="D21" s="1"/>
      <c r="E21" s="1"/>
      <c r="F21" s="1"/>
      <c r="G21" s="1"/>
    </row>
    <row r="22" spans="1:7" ht="23.25">
      <c r="A22" s="1047"/>
      <c r="B22" s="1"/>
      <c r="C22" s="1"/>
      <c r="D22" s="1"/>
      <c r="E22" s="1"/>
      <c r="F22" s="1"/>
      <c r="G22" s="1"/>
    </row>
    <row r="23" spans="1:7" ht="23.25">
      <c r="A23" s="1048"/>
      <c r="B23" s="1048"/>
      <c r="C23" s="1048"/>
      <c r="D23" s="1048"/>
      <c r="E23" s="1048"/>
      <c r="F23" s="1048"/>
      <c r="G23" s="1048"/>
    </row>
    <row r="24" spans="1:7" ht="23.25">
      <c r="A24" s="1048"/>
      <c r="B24" s="1048"/>
      <c r="C24" s="1048"/>
      <c r="D24" s="1048"/>
      <c r="E24" s="1048"/>
      <c r="F24" s="1048"/>
      <c r="G24" s="1048"/>
    </row>
    <row r="25" spans="1:7" ht="23.25">
      <c r="A25" s="1048"/>
      <c r="B25" s="1048"/>
      <c r="C25" s="1048"/>
      <c r="D25" s="1048"/>
      <c r="E25" s="1048"/>
      <c r="F25" s="1048"/>
      <c r="G25" s="1048"/>
    </row>
    <row r="26" spans="1:7" ht="23.25">
      <c r="A26" s="1047"/>
      <c r="B26" s="1049"/>
      <c r="C26" s="1049"/>
      <c r="D26" s="1049"/>
      <c r="E26" s="1049"/>
      <c r="F26" s="1049"/>
      <c r="G26" s="1049"/>
    </row>
    <row r="27" spans="1:7" ht="23.25">
      <c r="A27" s="1048"/>
      <c r="B27" s="1048"/>
      <c r="C27" s="1048"/>
      <c r="D27" s="1048"/>
      <c r="E27" s="1048"/>
      <c r="F27" s="1048"/>
      <c r="G27" s="1048"/>
    </row>
  </sheetData>
  <phoneticPr fontId="19" type="noConversion"/>
  <printOptions gridLinesSet="0"/>
  <pageMargins left="1.1811023622047245" right="0.78740157480314965" top="2.3622047244094491" bottom="0.98425196850393704" header="0.51181102362204722" footer="0.51181102362204722"/>
  <pageSetup orientation="portrait" horizontalDpi="300" verticalDpi="300" r:id="rId1"/>
  <headerFooter alignWithMargins="0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09"/>
  <sheetViews>
    <sheetView workbookViewId="0">
      <selection activeCell="A5" sqref="A5"/>
    </sheetView>
  </sheetViews>
  <sheetFormatPr baseColWidth="10" defaultRowHeight="12.75"/>
  <cols>
    <col min="1" max="1" width="35.5703125" style="1053" customWidth="1"/>
    <col min="2" max="2" width="67.85546875" style="1054" customWidth="1"/>
    <col min="3" max="16384" width="11.42578125" style="1052"/>
  </cols>
  <sheetData>
    <row r="1" spans="1:2">
      <c r="A1" s="1050"/>
      <c r="B1" s="1051" t="s">
        <v>245</v>
      </c>
    </row>
    <row r="2" spans="1:2">
      <c r="A2" s="1050"/>
      <c r="B2" s="1051"/>
    </row>
    <row r="5" spans="1:2" ht="36.75" customHeight="1">
      <c r="A5" s="1055" t="s">
        <v>246</v>
      </c>
      <c r="B5" s="1056" t="s">
        <v>247</v>
      </c>
    </row>
    <row r="7" spans="1:2">
      <c r="A7" s="1057" t="s">
        <v>248</v>
      </c>
      <c r="B7" s="1054" t="s">
        <v>249</v>
      </c>
    </row>
    <row r="8" spans="1:2">
      <c r="A8" s="1057"/>
      <c r="B8" s="1058"/>
    </row>
    <row r="9" spans="1:2" ht="14.25" customHeight="1">
      <c r="A9" s="1057" t="s">
        <v>250</v>
      </c>
      <c r="B9" s="1054" t="s">
        <v>251</v>
      </c>
    </row>
    <row r="10" spans="1:2" ht="14.25" customHeight="1">
      <c r="A10" s="1057"/>
      <c r="B10" s="1058"/>
    </row>
    <row r="11" spans="1:2" ht="25.5" customHeight="1">
      <c r="A11" s="1057" t="s">
        <v>252</v>
      </c>
      <c r="B11" s="1054" t="s">
        <v>253</v>
      </c>
    </row>
    <row r="12" spans="1:2" ht="19.5" customHeight="1">
      <c r="A12" s="1057"/>
      <c r="B12" s="1058"/>
    </row>
    <row r="13" spans="1:2" ht="24" customHeight="1">
      <c r="A13" s="1055" t="s">
        <v>254</v>
      </c>
      <c r="B13" s="1056" t="s">
        <v>255</v>
      </c>
    </row>
    <row r="14" spans="1:2" ht="15.75" customHeight="1">
      <c r="A14" s="1055"/>
      <c r="B14" s="1059"/>
    </row>
    <row r="15" spans="1:2" ht="25.5">
      <c r="A15" s="1059" t="s">
        <v>256</v>
      </c>
      <c r="B15" s="1056" t="s">
        <v>257</v>
      </c>
    </row>
    <row r="16" spans="1:2">
      <c r="A16" s="1059"/>
      <c r="B16" s="1059"/>
    </row>
    <row r="17" spans="1:2" ht="25.5">
      <c r="A17" s="1055" t="s">
        <v>258</v>
      </c>
      <c r="B17" s="1056" t="s">
        <v>259</v>
      </c>
    </row>
    <row r="18" spans="1:2">
      <c r="A18" s="1055"/>
      <c r="B18" s="1059"/>
    </row>
    <row r="19" spans="1:2">
      <c r="A19" s="1057" t="s">
        <v>260</v>
      </c>
      <c r="B19" s="1054" t="s">
        <v>261</v>
      </c>
    </row>
    <row r="20" spans="1:2">
      <c r="A20" s="1057"/>
      <c r="B20" s="1058"/>
    </row>
    <row r="21" spans="1:2">
      <c r="A21" s="1057" t="s">
        <v>262</v>
      </c>
      <c r="B21" s="1054" t="s">
        <v>263</v>
      </c>
    </row>
    <row r="22" spans="1:2">
      <c r="A22" s="1057"/>
      <c r="B22" s="1058"/>
    </row>
    <row r="23" spans="1:2">
      <c r="A23" s="1055" t="s">
        <v>264</v>
      </c>
      <c r="B23" s="1059" t="s">
        <v>265</v>
      </c>
    </row>
    <row r="24" spans="1:2">
      <c r="A24" s="1055"/>
      <c r="B24" s="1059"/>
    </row>
    <row r="25" spans="1:2">
      <c r="A25" s="1057" t="s">
        <v>266</v>
      </c>
      <c r="B25" s="1058" t="s">
        <v>267</v>
      </c>
    </row>
    <row r="26" spans="1:2">
      <c r="A26" s="1057"/>
      <c r="B26" s="1058"/>
    </row>
    <row r="27" spans="1:2">
      <c r="A27" s="1057" t="s">
        <v>268</v>
      </c>
      <c r="B27" s="1054" t="s">
        <v>269</v>
      </c>
    </row>
    <row r="28" spans="1:2">
      <c r="A28" s="1057"/>
      <c r="B28" s="1058"/>
    </row>
    <row r="29" spans="1:2" ht="25.5">
      <c r="A29" s="1055" t="s">
        <v>270</v>
      </c>
      <c r="B29" s="1059" t="s">
        <v>281</v>
      </c>
    </row>
    <row r="30" spans="1:2">
      <c r="A30" s="1055"/>
      <c r="B30" s="1059"/>
    </row>
    <row r="31" spans="1:2" ht="25.5">
      <c r="A31" s="1055" t="s">
        <v>282</v>
      </c>
      <c r="B31" s="1056" t="s">
        <v>283</v>
      </c>
    </row>
    <row r="32" spans="1:2">
      <c r="A32" s="1055"/>
      <c r="B32" s="1059"/>
    </row>
    <row r="33" spans="1:2" ht="38.25">
      <c r="A33" s="1055" t="s">
        <v>284</v>
      </c>
      <c r="B33" s="1056" t="s">
        <v>285</v>
      </c>
    </row>
    <row r="34" spans="1:2">
      <c r="A34" s="1055"/>
      <c r="B34" s="1059"/>
    </row>
    <row r="35" spans="1:2" ht="25.5">
      <c r="A35" s="1055" t="s">
        <v>286</v>
      </c>
      <c r="B35" s="1056" t="s">
        <v>287</v>
      </c>
    </row>
    <row r="36" spans="1:2">
      <c r="A36" s="1055"/>
      <c r="B36" s="1059"/>
    </row>
    <row r="37" spans="1:2" ht="25.5">
      <c r="A37" s="1055" t="s">
        <v>288</v>
      </c>
      <c r="B37" s="1056" t="s">
        <v>289</v>
      </c>
    </row>
    <row r="38" spans="1:2">
      <c r="A38" s="1055"/>
      <c r="B38" s="1059"/>
    </row>
    <row r="39" spans="1:2" ht="39.75" customHeight="1">
      <c r="A39" s="1055" t="s">
        <v>290</v>
      </c>
      <c r="B39" s="1056" t="s">
        <v>291</v>
      </c>
    </row>
    <row r="40" spans="1:2">
      <c r="A40" s="1055"/>
      <c r="B40" s="1059"/>
    </row>
    <row r="41" spans="1:2" ht="25.5">
      <c r="A41" s="1055" t="s">
        <v>292</v>
      </c>
      <c r="B41" s="1056" t="s">
        <v>293</v>
      </c>
    </row>
    <row r="42" spans="1:2">
      <c r="A42" s="1055"/>
      <c r="B42" s="1059"/>
    </row>
    <row r="43" spans="1:2" ht="27" customHeight="1">
      <c r="A43" s="1055" t="s">
        <v>294</v>
      </c>
      <c r="B43" s="1056" t="s">
        <v>295</v>
      </c>
    </row>
    <row r="44" spans="1:2">
      <c r="A44" s="1055"/>
      <c r="B44" s="1059"/>
    </row>
    <row r="45" spans="1:2" ht="29.25" customHeight="1">
      <c r="A45" s="1055" t="s">
        <v>296</v>
      </c>
      <c r="B45" s="1056" t="s">
        <v>297</v>
      </c>
    </row>
    <row r="46" spans="1:2">
      <c r="A46" s="1055"/>
      <c r="B46" s="1059"/>
    </row>
    <row r="47" spans="1:2">
      <c r="A47" s="1057" t="s">
        <v>298</v>
      </c>
      <c r="B47" s="1054" t="s">
        <v>1353</v>
      </c>
    </row>
    <row r="48" spans="1:2">
      <c r="A48" s="1057"/>
      <c r="B48" s="1058"/>
    </row>
    <row r="49" spans="1:2" ht="25.5">
      <c r="A49" s="1055" t="s">
        <v>299</v>
      </c>
      <c r="B49" s="1056" t="s">
        <v>300</v>
      </c>
    </row>
    <row r="50" spans="1:2">
      <c r="A50" s="1055"/>
      <c r="B50" s="1059"/>
    </row>
    <row r="51" spans="1:2">
      <c r="A51" s="1057" t="s">
        <v>301</v>
      </c>
      <c r="B51" s="1054" t="s">
        <v>302</v>
      </c>
    </row>
    <row r="52" spans="1:2">
      <c r="A52" s="1057"/>
      <c r="B52" s="1058"/>
    </row>
    <row r="53" spans="1:2">
      <c r="A53" s="1057" t="s">
        <v>303</v>
      </c>
      <c r="B53" s="1054" t="s">
        <v>304</v>
      </c>
    </row>
    <row r="54" spans="1:2">
      <c r="A54" s="1057"/>
      <c r="B54" s="1058"/>
    </row>
    <row r="55" spans="1:2">
      <c r="A55" s="1055" t="s">
        <v>305</v>
      </c>
      <c r="B55" s="1056" t="s">
        <v>306</v>
      </c>
    </row>
    <row r="56" spans="1:2">
      <c r="A56" s="1055"/>
      <c r="B56" s="1059"/>
    </row>
    <row r="57" spans="1:2" ht="25.5">
      <c r="A57" s="1055" t="s">
        <v>307</v>
      </c>
      <c r="B57" s="1056" t="s">
        <v>308</v>
      </c>
    </row>
    <row r="58" spans="1:2">
      <c r="A58" s="1055"/>
      <c r="B58" s="1059"/>
    </row>
    <row r="59" spans="1:2" ht="25.5">
      <c r="A59" s="1055" t="s">
        <v>309</v>
      </c>
      <c r="B59" s="1056" t="s">
        <v>318</v>
      </c>
    </row>
    <row r="60" spans="1:2">
      <c r="A60" s="1055"/>
      <c r="B60" s="1056"/>
    </row>
    <row r="61" spans="1:2" ht="38.25">
      <c r="A61" s="1119" t="s">
        <v>1334</v>
      </c>
      <c r="B61" s="1056" t="s">
        <v>1338</v>
      </c>
    </row>
    <row r="62" spans="1:2">
      <c r="A62" s="1055"/>
      <c r="B62" s="1059"/>
    </row>
    <row r="63" spans="1:2">
      <c r="A63" s="1055" t="s">
        <v>319</v>
      </c>
      <c r="B63" s="1056" t="s">
        <v>320</v>
      </c>
    </row>
    <row r="64" spans="1:2">
      <c r="A64" s="1055"/>
      <c r="B64" s="1059"/>
    </row>
    <row r="65" spans="1:2" ht="25.5">
      <c r="A65" s="1055" t="s">
        <v>321</v>
      </c>
      <c r="B65" s="1056" t="s">
        <v>322</v>
      </c>
    </row>
    <row r="66" spans="1:2">
      <c r="A66" s="1055"/>
      <c r="B66" s="1059"/>
    </row>
    <row r="67" spans="1:2">
      <c r="A67" s="1055" t="s">
        <v>323</v>
      </c>
      <c r="B67" s="1056" t="s">
        <v>324</v>
      </c>
    </row>
    <row r="68" spans="1:2">
      <c r="A68" s="1055"/>
      <c r="B68" s="1059"/>
    </row>
    <row r="69" spans="1:2">
      <c r="A69" s="1057" t="s">
        <v>325</v>
      </c>
      <c r="B69" s="1054" t="s">
        <v>326</v>
      </c>
    </row>
    <row r="71" spans="1:2" ht="25.5">
      <c r="A71" s="1055" t="s">
        <v>327</v>
      </c>
      <c r="B71" s="1056" t="s">
        <v>331</v>
      </c>
    </row>
    <row r="73" spans="1:2">
      <c r="A73" s="1055"/>
      <c r="B73" s="1059"/>
    </row>
    <row r="76" spans="1:2">
      <c r="A76" s="1057"/>
      <c r="B76" s="1058"/>
    </row>
    <row r="86" spans="1:2">
      <c r="A86" s="1057"/>
      <c r="B86" s="1058"/>
    </row>
    <row r="87" spans="1:2" ht="26.25" customHeight="1"/>
    <row r="101" spans="1:2" s="2" customFormat="1">
      <c r="A101" s="1053"/>
      <c r="B101" s="1054"/>
    </row>
    <row r="109" spans="1:2" ht="26.25" customHeight="1"/>
  </sheetData>
  <phoneticPr fontId="19" type="noConversion"/>
  <pageMargins left="1.04" right="0.59055118110236227" top="1.3779527559055118" bottom="1.7716535433070868" header="0.51181102362204722" footer="0.51181102362204722"/>
  <pageSetup paperSize="5" scale="83" orientation="portrait" horizontalDpi="300" verticalDpi="300" r:id="rId1"/>
  <headerFooter alignWithMargins="0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D21" sqref="D21"/>
    </sheetView>
  </sheetViews>
  <sheetFormatPr baseColWidth="10" defaultRowHeight="12.75"/>
  <sheetData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81"/>
  <sheetViews>
    <sheetView topLeftCell="A88" workbookViewId="0">
      <selection activeCell="H87" sqref="H87"/>
    </sheetView>
  </sheetViews>
  <sheetFormatPr baseColWidth="10" defaultRowHeight="12.75"/>
  <sheetData>
    <row r="1" spans="1:3" ht="36">
      <c r="A1" s="76" t="s">
        <v>541</v>
      </c>
      <c r="B1" s="1206">
        <v>1990</v>
      </c>
      <c r="C1" s="1207"/>
    </row>
    <row r="2" spans="1:3">
      <c r="A2" s="77" t="s">
        <v>542</v>
      </c>
      <c r="B2" t="s">
        <v>543</v>
      </c>
      <c r="C2" t="s">
        <v>544</v>
      </c>
    </row>
    <row r="3" spans="1:3">
      <c r="A3" s="78" t="s">
        <v>545</v>
      </c>
      <c r="B3">
        <f>SUM(B4:B20)</f>
        <v>-95851</v>
      </c>
      <c r="C3">
        <v>95510</v>
      </c>
    </row>
    <row r="4" spans="1:3">
      <c r="A4" s="79" t="s">
        <v>546</v>
      </c>
      <c r="B4">
        <v>-10691</v>
      </c>
      <c r="C4">
        <v>10398</v>
      </c>
    </row>
    <row r="5" spans="1:3">
      <c r="A5" s="79" t="s">
        <v>547</v>
      </c>
      <c r="B5">
        <v>-9882</v>
      </c>
      <c r="C5">
        <v>9628</v>
      </c>
    </row>
    <row r="6" spans="1:3">
      <c r="A6" s="79" t="s">
        <v>548</v>
      </c>
      <c r="B6">
        <v>-9065</v>
      </c>
      <c r="C6">
        <v>8566</v>
      </c>
    </row>
    <row r="7" spans="1:3">
      <c r="A7" s="79" t="s">
        <v>549</v>
      </c>
      <c r="B7">
        <v>-8589</v>
      </c>
      <c r="C7">
        <v>8468</v>
      </c>
    </row>
    <row r="8" spans="1:3">
      <c r="A8" s="79" t="s">
        <v>550</v>
      </c>
      <c r="B8">
        <v>-8182</v>
      </c>
      <c r="C8">
        <v>8273</v>
      </c>
    </row>
    <row r="9" spans="1:3">
      <c r="A9" s="79" t="s">
        <v>551</v>
      </c>
      <c r="B9">
        <v>-9329</v>
      </c>
      <c r="C9">
        <v>9153</v>
      </c>
    </row>
    <row r="10" spans="1:3">
      <c r="A10" s="79" t="s">
        <v>552</v>
      </c>
      <c r="B10">
        <v>-8085</v>
      </c>
      <c r="C10">
        <v>7794</v>
      </c>
    </row>
    <row r="11" spans="1:3">
      <c r="A11" s="79" t="s">
        <v>553</v>
      </c>
      <c r="B11">
        <v>-6485</v>
      </c>
      <c r="C11">
        <v>6425</v>
      </c>
    </row>
    <row r="12" spans="1:3">
      <c r="A12" s="79" t="s">
        <v>554</v>
      </c>
      <c r="B12">
        <v>-5697</v>
      </c>
      <c r="C12">
        <v>5440</v>
      </c>
    </row>
    <row r="13" spans="1:3">
      <c r="A13" s="79" t="s">
        <v>555</v>
      </c>
      <c r="B13">
        <v>-4926</v>
      </c>
      <c r="C13">
        <v>4615</v>
      </c>
    </row>
    <row r="14" spans="1:3">
      <c r="A14" s="79" t="s">
        <v>556</v>
      </c>
      <c r="B14">
        <v>-3596</v>
      </c>
      <c r="C14">
        <v>3579</v>
      </c>
    </row>
    <row r="15" spans="1:3">
      <c r="A15" s="79" t="s">
        <v>557</v>
      </c>
      <c r="B15">
        <v>-3190</v>
      </c>
      <c r="C15">
        <v>3395</v>
      </c>
    </row>
    <row r="16" spans="1:3">
      <c r="A16" s="79" t="s">
        <v>558</v>
      </c>
      <c r="B16">
        <v>-2747</v>
      </c>
      <c r="C16">
        <v>3067</v>
      </c>
    </row>
    <row r="17" spans="1:3">
      <c r="A17" s="79" t="s">
        <v>559</v>
      </c>
      <c r="B17">
        <v>-1966</v>
      </c>
      <c r="C17">
        <v>2348</v>
      </c>
    </row>
    <row r="18" spans="1:3">
      <c r="A18" s="79" t="s">
        <v>560</v>
      </c>
      <c r="B18">
        <v>-1668</v>
      </c>
      <c r="C18">
        <v>1893</v>
      </c>
    </row>
    <row r="19" spans="1:3">
      <c r="A19" s="79" t="s">
        <v>561</v>
      </c>
      <c r="B19">
        <v>-969</v>
      </c>
      <c r="C19">
        <v>1312</v>
      </c>
    </row>
    <row r="20" spans="1:3">
      <c r="A20" s="80" t="s">
        <v>562</v>
      </c>
      <c r="B20">
        <v>-784</v>
      </c>
      <c r="C20">
        <v>1156</v>
      </c>
    </row>
    <row r="21" spans="1:3">
      <c r="A21" s="79"/>
    </row>
    <row r="22" spans="1:3">
      <c r="A22" s="79"/>
    </row>
    <row r="23" spans="1:3">
      <c r="A23" s="79"/>
    </row>
    <row r="24" spans="1:3">
      <c r="A24" s="79"/>
    </row>
    <row r="25" spans="1:3">
      <c r="A25" s="79" t="s">
        <v>546</v>
      </c>
      <c r="B25">
        <v>-10001</v>
      </c>
      <c r="C25">
        <v>9579</v>
      </c>
    </row>
    <row r="26" spans="1:3">
      <c r="A26" s="79" t="s">
        <v>547</v>
      </c>
      <c r="B26">
        <v>-10126</v>
      </c>
      <c r="C26">
        <v>9647</v>
      </c>
    </row>
    <row r="27" spans="1:3">
      <c r="A27" s="79" t="s">
        <v>548</v>
      </c>
      <c r="B27">
        <v>-10470</v>
      </c>
      <c r="C27">
        <v>9728</v>
      </c>
    </row>
    <row r="28" spans="1:3">
      <c r="A28" s="79" t="s">
        <v>549</v>
      </c>
      <c r="B28">
        <v>-11314</v>
      </c>
      <c r="C28">
        <v>10272</v>
      </c>
    </row>
    <row r="29" spans="1:3">
      <c r="A29" s="79" t="s">
        <v>550</v>
      </c>
      <c r="B29">
        <v>-11665</v>
      </c>
      <c r="C29">
        <v>10963</v>
      </c>
    </row>
    <row r="30" spans="1:3">
      <c r="A30" s="79" t="s">
        <v>551</v>
      </c>
      <c r="B30">
        <v>-11167</v>
      </c>
      <c r="C30">
        <v>10563</v>
      </c>
    </row>
    <row r="31" spans="1:3">
      <c r="A31" s="79" t="s">
        <v>552</v>
      </c>
      <c r="B31">
        <v>-10142</v>
      </c>
      <c r="C31">
        <v>9557</v>
      </c>
    </row>
    <row r="32" spans="1:3">
      <c r="A32" s="79" t="s">
        <v>553</v>
      </c>
      <c r="B32">
        <v>-8126</v>
      </c>
      <c r="C32">
        <v>8490</v>
      </c>
    </row>
    <row r="33" spans="1:3">
      <c r="A33" s="79" t="s">
        <v>554</v>
      </c>
      <c r="B33">
        <v>-8592</v>
      </c>
      <c r="C33">
        <v>9176</v>
      </c>
    </row>
    <row r="34" spans="1:3">
      <c r="A34" s="79" t="s">
        <v>555</v>
      </c>
      <c r="B34">
        <v>-8769</v>
      </c>
      <c r="C34">
        <v>9387</v>
      </c>
    </row>
    <row r="35" spans="1:3">
      <c r="A35" s="79" t="s">
        <v>556</v>
      </c>
      <c r="B35">
        <v>-8946</v>
      </c>
      <c r="C35">
        <v>9508</v>
      </c>
    </row>
    <row r="36" spans="1:3">
      <c r="A36" s="79" t="s">
        <v>557</v>
      </c>
      <c r="B36">
        <v>-7472</v>
      </c>
      <c r="C36">
        <v>7968</v>
      </c>
    </row>
    <row r="37" spans="1:3">
      <c r="A37" s="79" t="s">
        <v>558</v>
      </c>
      <c r="B37">
        <v>-6031</v>
      </c>
      <c r="C37">
        <v>6465</v>
      </c>
    </row>
    <row r="38" spans="1:3">
      <c r="A38" s="79" t="s">
        <v>559</v>
      </c>
      <c r="B38">
        <v>-5010</v>
      </c>
      <c r="C38">
        <v>5292</v>
      </c>
    </row>
    <row r="39" spans="1:3">
      <c r="A39" s="79" t="s">
        <v>560</v>
      </c>
      <c r="B39">
        <v>-3792</v>
      </c>
      <c r="C39">
        <v>4173</v>
      </c>
    </row>
    <row r="40" spans="1:3">
      <c r="A40" s="79" t="s">
        <v>561</v>
      </c>
      <c r="B40">
        <v>-2441</v>
      </c>
      <c r="C40">
        <v>2955</v>
      </c>
    </row>
    <row r="41" spans="1:3">
      <c r="A41" s="80" t="s">
        <v>562</v>
      </c>
      <c r="B41">
        <v>-2486</v>
      </c>
      <c r="C41">
        <v>3695</v>
      </c>
    </row>
    <row r="42" spans="1:3">
      <c r="A42" s="81"/>
    </row>
    <row r="43" spans="1:3">
      <c r="A43" s="82"/>
    </row>
    <row r="44" spans="1:3">
      <c r="A44" s="82"/>
    </row>
    <row r="45" spans="1:3">
      <c r="A45" s="82"/>
    </row>
    <row r="46" spans="1:3">
      <c r="A46" s="82"/>
    </row>
    <row r="47" spans="1:3">
      <c r="A47" s="82"/>
    </row>
    <row r="48" spans="1:3">
      <c r="A48" s="82"/>
    </row>
    <row r="49" spans="1:1">
      <c r="A49" s="82"/>
    </row>
    <row r="50" spans="1:1">
      <c r="A50" s="82"/>
    </row>
    <row r="51" spans="1:1">
      <c r="A51" s="82"/>
    </row>
    <row r="52" spans="1:1">
      <c r="A52" s="82"/>
    </row>
    <row r="53" spans="1:1">
      <c r="A53" s="82"/>
    </row>
    <row r="54" spans="1:1">
      <c r="A54" s="82"/>
    </row>
    <row r="55" spans="1:1">
      <c r="A55" s="82"/>
    </row>
    <row r="56" spans="1:1">
      <c r="A56" s="82"/>
    </row>
    <row r="57" spans="1:1">
      <c r="A57" s="82"/>
    </row>
    <row r="58" spans="1:1">
      <c r="A58" s="82"/>
    </row>
    <row r="59" spans="1:1">
      <c r="A59" s="82"/>
    </row>
    <row r="60" spans="1:1">
      <c r="A60" s="82"/>
    </row>
    <row r="61" spans="1:1">
      <c r="A61" s="82"/>
    </row>
    <row r="62" spans="1:1">
      <c r="A62" s="82"/>
    </row>
    <row r="63" spans="1:1">
      <c r="A63" s="82"/>
    </row>
    <row r="64" spans="1:1">
      <c r="A64" s="82"/>
    </row>
    <row r="65" spans="1:1">
      <c r="A65" s="82"/>
    </row>
    <row r="66" spans="1:1">
      <c r="A66" s="82"/>
    </row>
    <row r="67" spans="1:1">
      <c r="A67" s="82"/>
    </row>
    <row r="68" spans="1:1">
      <c r="A68" s="82"/>
    </row>
    <row r="69" spans="1:1">
      <c r="A69" s="82"/>
    </row>
    <row r="70" spans="1:1">
      <c r="A70" s="82"/>
    </row>
    <row r="71" spans="1:1">
      <c r="A71" s="82"/>
    </row>
    <row r="72" spans="1:1">
      <c r="A72" s="82"/>
    </row>
    <row r="73" spans="1:1">
      <c r="A73" s="82"/>
    </row>
    <row r="74" spans="1:1">
      <c r="A74" s="82"/>
    </row>
    <row r="75" spans="1:1">
      <c r="A75" s="82"/>
    </row>
    <row r="76" spans="1:1">
      <c r="A76" s="82"/>
    </row>
    <row r="77" spans="1:1">
      <c r="A77" s="82"/>
    </row>
    <row r="78" spans="1:1">
      <c r="A78" s="82"/>
    </row>
    <row r="79" spans="1:1">
      <c r="A79" s="82"/>
    </row>
    <row r="80" spans="1:1">
      <c r="A80" s="82"/>
    </row>
    <row r="81" spans="1:1">
      <c r="A81" s="82"/>
    </row>
  </sheetData>
  <mergeCells count="1">
    <mergeCell ref="B1:C1"/>
  </mergeCells>
  <phoneticPr fontId="19" type="noConversion"/>
  <pageMargins left="1.9685039370078741" right="0.78740157480314965" top="1.3779527559055118" bottom="0.98425196850393704" header="0.51181102362204722" footer="0"/>
  <pageSetup paperSize="5" orientation="portrait" horizontalDpi="300" vertic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87</vt:i4>
      </vt:variant>
      <vt:variant>
        <vt:lpstr>Rangos con nombre</vt:lpstr>
      </vt:variant>
      <vt:variant>
        <vt:i4>33</vt:i4>
      </vt:variant>
    </vt:vector>
  </HeadingPairs>
  <TitlesOfParts>
    <vt:vector size="120" baseType="lpstr">
      <vt:lpstr>mate</vt:lpstr>
      <vt:lpstr>1</vt:lpstr>
      <vt:lpstr>4</vt:lpstr>
      <vt:lpstr>5</vt:lpstr>
      <vt:lpstr>6</vt:lpstr>
      <vt:lpstr>7</vt:lpstr>
      <vt:lpstr>8</vt:lpstr>
      <vt:lpstr>9</vt:lpstr>
      <vt:lpstr>10</vt:lpstr>
      <vt:lpstr>11</vt:lpstr>
      <vt:lpstr>12</vt:lpstr>
      <vt:lpstr>13</vt:lpstr>
      <vt:lpstr>14</vt:lpstr>
      <vt:lpstr>15</vt:lpstr>
      <vt:lpstr>16</vt:lpstr>
      <vt:lpstr>17</vt:lpstr>
      <vt:lpstr>19</vt:lpstr>
      <vt:lpstr>21</vt:lpstr>
      <vt:lpstr>23</vt:lpstr>
      <vt:lpstr>25</vt:lpstr>
      <vt:lpstr>27</vt:lpstr>
      <vt:lpstr>29</vt:lpstr>
      <vt:lpstr>31</vt:lpstr>
      <vt:lpstr>33</vt:lpstr>
      <vt:lpstr>35</vt:lpstr>
      <vt:lpstr>39</vt:lpstr>
      <vt:lpstr>40</vt:lpstr>
      <vt:lpstr>41</vt:lpstr>
      <vt:lpstr>42</vt:lpstr>
      <vt:lpstr>43</vt:lpstr>
      <vt:lpstr>44</vt:lpstr>
      <vt:lpstr>45</vt:lpstr>
      <vt:lpstr>47</vt:lpstr>
      <vt:lpstr>48</vt:lpstr>
      <vt:lpstr>49</vt:lpstr>
      <vt:lpstr>50</vt:lpstr>
      <vt:lpstr>51</vt:lpstr>
      <vt:lpstr>52</vt:lpstr>
      <vt:lpstr>53</vt:lpstr>
      <vt:lpstr>54</vt:lpstr>
      <vt:lpstr>55</vt:lpstr>
      <vt:lpstr>56</vt:lpstr>
      <vt:lpstr>57</vt:lpstr>
      <vt:lpstr>58</vt:lpstr>
      <vt:lpstr>59</vt:lpstr>
      <vt:lpstr>60</vt:lpstr>
      <vt:lpstr>61</vt:lpstr>
      <vt:lpstr>62</vt:lpstr>
      <vt:lpstr>63</vt:lpstr>
      <vt:lpstr>64</vt:lpstr>
      <vt:lpstr>RESOlutividad</vt:lpstr>
      <vt:lpstr>65</vt:lpstr>
      <vt:lpstr>66</vt:lpstr>
      <vt:lpstr>67</vt:lpstr>
      <vt:lpstr>71</vt:lpstr>
      <vt:lpstr>73</vt:lpstr>
      <vt:lpstr>74</vt:lpstr>
      <vt:lpstr>75</vt:lpstr>
      <vt:lpstr>76</vt:lpstr>
      <vt:lpstr>77</vt:lpstr>
      <vt:lpstr>78</vt:lpstr>
      <vt:lpstr>79</vt:lpstr>
      <vt:lpstr>80</vt:lpstr>
      <vt:lpstr>82</vt:lpstr>
      <vt:lpstr>84</vt:lpstr>
      <vt:lpstr>85</vt:lpstr>
      <vt:lpstr>86</vt:lpstr>
      <vt:lpstr>87</vt:lpstr>
      <vt:lpstr>88</vt:lpstr>
      <vt:lpstr>89</vt:lpstr>
      <vt:lpstr>90</vt:lpstr>
      <vt:lpstr>91</vt:lpstr>
      <vt:lpstr>92</vt:lpstr>
      <vt:lpstr>93</vt:lpstr>
      <vt:lpstr>94</vt:lpstr>
      <vt:lpstr>95</vt:lpstr>
      <vt:lpstr>96</vt:lpstr>
      <vt:lpstr>97</vt:lpstr>
      <vt:lpstr>99</vt:lpstr>
      <vt:lpstr>100</vt:lpstr>
      <vt:lpstr>102</vt:lpstr>
      <vt:lpstr>104</vt:lpstr>
      <vt:lpstr>106</vt:lpstr>
      <vt:lpstr>108</vt:lpstr>
      <vt:lpstr>AN</vt:lpstr>
      <vt:lpstr>GLO</vt:lpstr>
      <vt:lpstr>Hoja1</vt:lpstr>
      <vt:lpstr>'86'!A_impresión_IM</vt:lpstr>
      <vt:lpstr>'87'!A_impresión_IM</vt:lpstr>
      <vt:lpstr>'88'!A_impresión_IM</vt:lpstr>
      <vt:lpstr>'89'!A_impresión_IM</vt:lpstr>
      <vt:lpstr>'90'!A_impresión_IM</vt:lpstr>
      <vt:lpstr>'10'!Área_de_impresión</vt:lpstr>
      <vt:lpstr>'12'!Área_de_impresión</vt:lpstr>
      <vt:lpstr>'13'!Área_de_impresión</vt:lpstr>
      <vt:lpstr>'39'!Área_de_impresión</vt:lpstr>
      <vt:lpstr>'42'!Área_de_impresión</vt:lpstr>
      <vt:lpstr>'47'!Área_de_impresión</vt:lpstr>
      <vt:lpstr>'6'!Área_de_impresión</vt:lpstr>
      <vt:lpstr>'67'!Área_de_impresión</vt:lpstr>
      <vt:lpstr>'75'!Área_de_impresión</vt:lpstr>
      <vt:lpstr>'78'!Área_de_impresión</vt:lpstr>
      <vt:lpstr>'79'!Área_de_impresión</vt:lpstr>
      <vt:lpstr>'80'!Área_de_impresión</vt:lpstr>
      <vt:lpstr>'84'!Área_de_impresión</vt:lpstr>
      <vt:lpstr>'87'!Área_de_impresión</vt:lpstr>
      <vt:lpstr>'88'!Área_de_impresión</vt:lpstr>
      <vt:lpstr>'89'!Área_de_impresión</vt:lpstr>
      <vt:lpstr>'90'!Área_de_impresión</vt:lpstr>
      <vt:lpstr>'91'!Área_de_impresión</vt:lpstr>
      <vt:lpstr>'92'!Área_de_impresión</vt:lpstr>
      <vt:lpstr>'93'!Área_de_impresión</vt:lpstr>
      <vt:lpstr>'94'!Área_de_impresión</vt:lpstr>
      <vt:lpstr>'95'!Área_de_impresión</vt:lpstr>
      <vt:lpstr>'96'!Área_de_impresión</vt:lpstr>
      <vt:lpstr>'86'!TOTAL</vt:lpstr>
      <vt:lpstr>'87'!TOTAL</vt:lpstr>
      <vt:lpstr>'88'!TOTAL</vt:lpstr>
      <vt:lpstr>'89'!TOTAL</vt:lpstr>
      <vt:lpstr>'90'!TOTAL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Acer End User</dc:creator>
  <cp:lastModifiedBy>Guillermo_P</cp:lastModifiedBy>
  <cp:lastPrinted>2015-01-07T14:42:58Z</cp:lastPrinted>
  <dcterms:created xsi:type="dcterms:W3CDTF">2002-03-10T16:08:46Z</dcterms:created>
  <dcterms:modified xsi:type="dcterms:W3CDTF">2017-03-31T11:48:17Z</dcterms:modified>
</cp:coreProperties>
</file>